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IFERROR(__xludf.DUMMYFUNCTION("IMPORTRANGE(""https://docs.google.com/spreadsheets/d/1V2rhjSUdPXwCgr9M_hZvw2GYSkKGpTHKA3wILqMZGqw/edit"",""УМИТЫ!A:Z"")")," Теория литературы")</f>
        <v> Теория литературы</v>
      </c>
      <c r="B1" s="1"/>
      <c r="C1" s="1" t="str">
        <f>IFERROR(__xludf.DUMMYFUNCTION("""COMPUTED_VALUE"""),"От Слова о полку Игореве к Горю от ума")</f>
        <v>От Слова о полку Игореве к Горю от ума</v>
      </c>
      <c r="D1" s="1"/>
      <c r="E1" s="1" t="str">
        <f>IFERROR(__xludf.DUMMYFUNCTION("""COMPUTED_VALUE"""),"Творчество Пушкина А.С.: лирика и проза")</f>
        <v>Творчество Пушкина А.С.: лирика и проза</v>
      </c>
      <c r="F1" s="1"/>
      <c r="G1" s="1" t="str">
        <f>IFERROR(__xludf.DUMMYFUNCTION("""COMPUTED_VALUE"""),"Творчество Лермонтова М.Ю. и Гоголя Н.В.")</f>
        <v>Творчество Лермонтова М.Ю. и Гоголя Н.В.</v>
      </c>
      <c r="H1" s="1"/>
      <c r="I1" s="1" t="str">
        <f>IFERROR(__xludf.DUMMYFUNCTION("""COMPUTED_VALUE"""),"Гоголь Н.В. (продолжение), творчество Островского А.Н. и Тургенева И.С.")</f>
        <v>Гоголь Н.В. (продолжение), творчество Островского А.Н. и Тургенева И.С.</v>
      </c>
      <c r="J1" s="1"/>
      <c r="K1" s="1" t="str">
        <f>IFERROR(__xludf.DUMMYFUNCTION("""COMPUTED_VALUE"""),"Творчество Тютчева, Фета, Некрасова, Гончарова и Салтыкова-Щедрина")</f>
        <v>Творчество Тютчева, Фета, Некрасова, Гончарова и Салтыкова-Щедрина</v>
      </c>
      <c r="L1" s="1"/>
      <c r="M1" s="1" t="str">
        <f>IFERROR(__xludf.DUMMYFUNCTION("""COMPUTED_VALUE"""),"Творчество Толстого Л.Н., Достоевского, Лескова, Чехова")</f>
        <v>Творчество Толстого Л.Н., Достоевского, Лескова, Чехова</v>
      </c>
      <c r="N1" s="1"/>
      <c r="O1" s="1" t="str">
        <f>IFERROR(__xludf.DUMMYFUNCTION("""COMPUTED_VALUE"""),"Чехов А.П., Бунин И.А. и поэзия конца XIX – начала XX вв")</f>
        <v>Чехов А.П., Бунин И.А. и поэзия конца XIX – начала XX вв</v>
      </c>
      <c r="P1" s="1"/>
      <c r="Q1" s="1" t="str">
        <f>IFERROR(__xludf.DUMMYFUNCTION("""COMPUTED_VALUE"""),"Лирика ХХ в. – начала XXI: Блок, Маяковский, Есенин")</f>
        <v>Лирика ХХ в. – начала XXI: Блок, Маяковский, Есенин</v>
      </c>
      <c r="R1" s="1"/>
      <c r="S1" s="1" t="str">
        <f>IFERROR(__xludf.DUMMYFUNCTION("""COMPUTED_VALUE"""),"М. Горький. Рассказ «Старуха Изергиль» и «На дне»")</f>
        <v>М. Горький. Рассказ «Старуха Изергиль» и «На дне»</v>
      </c>
      <c r="T1" s="1"/>
      <c r="U1" s="1" t="str">
        <f>IFERROR(__xludf.DUMMYFUNCTION("""COMPUTED_VALUE"""),"От Шолохова до Твардовского")</f>
        <v>От Шолохова до Твардовского</v>
      </c>
      <c r="V1" s="1"/>
      <c r="W1" s="1" t="str">
        <f>IFERROR(__xludf.DUMMYFUNCTION("""COMPUTED_VALUE"""),"От Шукшина и до драматургии второй половины ХХ века")</f>
        <v>От Шукшина и до драматургии второй половины ХХ века</v>
      </c>
      <c r="X1" s="1"/>
      <c r="Y1" s="1" t="str">
        <f>IFERROR(__xludf.DUMMYFUNCTION("""COMPUTED_VALUE"""),"Из зарубежной литературы и навыки")</f>
        <v>Из зарубежной литературы и навыки</v>
      </c>
      <c r="Z1" s="1"/>
    </row>
    <row r="2">
      <c r="A2" s="1" t="str">
        <f>IFERROR(__xludf.DUMMYFUNCTION("""COMPUTED_VALUE"""),"Художественная литература как искусство слова")</f>
        <v>Художественная литература как искусство слова</v>
      </c>
      <c r="B2" s="1">
        <f>IFERROR(__xludf.DUMMYFUNCTION("""COMPUTED_VALUE"""),1.0)</f>
        <v>1</v>
      </c>
      <c r="C2" s="1" t="str">
        <f>IFERROR(__xludf.DUMMYFUNCTION("""COMPUTED_VALUE"""),"Авторское определение жанра – ""Слово о полку Игореве""")</f>
        <v>Авторское определение жанра – "Слово о полку Игореве"</v>
      </c>
      <c r="D2" s="1">
        <f>IFERROR(__xludf.DUMMYFUNCTION("""COMPUTED_VALUE"""),101.0)</f>
        <v>101</v>
      </c>
      <c r="E2" s="1" t="str">
        <f>IFERROR(__xludf.DUMMYFUNCTION("""COMPUTED_VALUE"""),"Биография и периодизация творчества Пушкина А.С.")</f>
        <v>Биография и периодизация творчества Пушкина А.С.</v>
      </c>
      <c r="F2" s="1">
        <f>IFERROR(__xludf.DUMMYFUNCTION("""COMPUTED_VALUE"""),201.0)</f>
        <v>201</v>
      </c>
      <c r="G2" s="1" t="str">
        <f>IFERROR(__xludf.DUMMYFUNCTION("""COMPUTED_VALUE"""),"Биография Лермонтова М.Ю.")</f>
        <v>Биография Лермонтова М.Ю.</v>
      </c>
      <c r="H2" s="1">
        <f>IFERROR(__xludf.DUMMYFUNCTION("""COMPUTED_VALUE"""),301.0)</f>
        <v>301</v>
      </c>
      <c r="I2" s="1" t="str">
        <f>IFERROR(__xludf.DUMMYFUNCTION("""COMPUTED_VALUE"""),"Гоголь Н.В. — «Мертвые души»: особенности произведения")</f>
        <v>Гоголь Н.В. — «Мертвые души»: особенности произведения</v>
      </c>
      <c r="J2" s="1">
        <f>IFERROR(__xludf.DUMMYFUNCTION("""COMPUTED_VALUE"""),401.0)</f>
        <v>401</v>
      </c>
      <c r="K2" s="1" t="str">
        <f>IFERROR(__xludf.DUMMYFUNCTION("""COMPUTED_VALUE"""),"Ф.И. Тютчев — биография")</f>
        <v>Ф.И. Тютчев — биография</v>
      </c>
      <c r="L2" s="1">
        <f>IFERROR(__xludf.DUMMYFUNCTION("""COMPUTED_VALUE"""),501.0)</f>
        <v>501</v>
      </c>
      <c r="M2" s="1" t="str">
        <f>IFERROR(__xludf.DUMMYFUNCTION("""COMPUTED_VALUE"""),"«Война и мир» — Толстой Л.Н.")</f>
        <v>«Война и мир» — Толстой Л.Н.</v>
      </c>
      <c r="N2" s="1">
        <f>IFERROR(__xludf.DUMMYFUNCTION("""COMPUTED_VALUE"""),601.0)</f>
        <v>601</v>
      </c>
      <c r="O2" s="1" t="str">
        <f>IFERROR(__xludf.DUMMYFUNCTION("""COMPUTED_VALUE"""),"Чехов А.П. ""Вишневый сад"": особенности произведения")</f>
        <v>Чехов А.П. "Вишневый сад": особенности произведения</v>
      </c>
      <c r="P2" s="1">
        <f>IFERROR(__xludf.DUMMYFUNCTION("""COMPUTED_VALUE"""),701.0)</f>
        <v>701</v>
      </c>
      <c r="Q2" s="1" t="str">
        <f>IFERROR(__xludf.DUMMYFUNCTION("""COMPUTED_VALUE"""),"Биография Блока А.А.")</f>
        <v>Биография Блока А.А.</v>
      </c>
      <c r="R2" s="1">
        <f>IFERROR(__xludf.DUMMYFUNCTION("""COMPUTED_VALUE"""),801.0)</f>
        <v>801</v>
      </c>
      <c r="S2" s="1" t="str">
        <f>IFERROR(__xludf.DUMMYFUNCTION("""COMPUTED_VALUE"""),"М. Горький: общая информация")</f>
        <v>М. Горький: общая информация</v>
      </c>
      <c r="T2" s="1">
        <f>IFERROR(__xludf.DUMMYFUNCTION("""COMPUTED_VALUE"""),901.0)</f>
        <v>901</v>
      </c>
      <c r="U2" s="1" t="str">
        <f>IFERROR(__xludf.DUMMYFUNCTION("""COMPUTED_VALUE"""),"О творчестве М.А. Шолохова")</f>
        <v>О творчестве М.А. Шолохова</v>
      </c>
      <c r="V2" s="1">
        <f>IFERROR(__xludf.DUMMYFUNCTION("""COMPUTED_VALUE"""),1001.0)</f>
        <v>1001</v>
      </c>
      <c r="W2" s="1" t="str">
        <f>IFERROR(__xludf.DUMMYFUNCTION("""COMPUTED_VALUE"""),"Деревенская проза и ее особенности")</f>
        <v>Деревенская проза и ее особенности</v>
      </c>
      <c r="X2" s="1">
        <f>IFERROR(__xludf.DUMMYFUNCTION("""COMPUTED_VALUE"""),1101.0)</f>
        <v>1101</v>
      </c>
      <c r="Y2" s="1" t="str">
        <f>IFERROR(__xludf.DUMMYFUNCTION("""COMPUTED_VALUE"""),"Гомер. Поэмы «Илиада», «Одиссея»
(фрагменты)")</f>
        <v>Гомер. Поэмы «Илиада», «Одиссея»
(фрагменты)</v>
      </c>
      <c r="Z2" s="1">
        <f>IFERROR(__xludf.DUMMYFUNCTION("""COMPUTED_VALUE"""),1201.0)</f>
        <v>1201</v>
      </c>
    </row>
    <row r="3">
      <c r="A3" s="1" t="str">
        <f>IFERROR(__xludf.DUMMYFUNCTION("""COMPUTED_VALUE"""),"Фольклор")</f>
        <v>Фольклор</v>
      </c>
      <c r="B3" s="1">
        <f>IFERROR(__xludf.DUMMYFUNCTION("""COMPUTED_VALUE"""),2.0)</f>
        <v>2</v>
      </c>
      <c r="C3" s="1" t="str">
        <f>IFERROR(__xludf.DUMMYFUNCTION("""COMPUTED_VALUE"""),"Сюжет и композиция – ""Слово о полку Игореве""")</f>
        <v>Сюжет и композиция – "Слово о полку Игореве"</v>
      </c>
      <c r="D3" s="1">
        <f>IFERROR(__xludf.DUMMYFUNCTION("""COMPUTED_VALUE"""),102.0)</f>
        <v>102</v>
      </c>
      <c r="E3" s="1" t="str">
        <f>IFERROR(__xludf.DUMMYFUNCTION("""COMPUTED_VALUE"""),"Пушкин А.С. – «Деревня»")</f>
        <v>Пушкин А.С. – «Деревня»</v>
      </c>
      <c r="F3" s="1">
        <f>IFERROR(__xludf.DUMMYFUNCTION("""COMPUTED_VALUE"""),202.0)</f>
        <v>202</v>
      </c>
      <c r="G3" s="1" t="str">
        <f>IFERROR(__xludf.DUMMYFUNCTION("""COMPUTED_VALUE"""),"Лермонтов М.Ю. – «Нет, я не Байрон, я другой»")</f>
        <v>Лермонтов М.Ю. – «Нет, я не Байрон, я другой»</v>
      </c>
      <c r="H3" s="1">
        <f>IFERROR(__xludf.DUMMYFUNCTION("""COMPUTED_VALUE"""),302.0)</f>
        <v>302</v>
      </c>
      <c r="I3" s="1" t="str">
        <f>IFERROR(__xludf.DUMMYFUNCTION("""COMPUTED_VALUE"""),"Черты лирики «Мертвые души»")</f>
        <v>Черты лирики «Мертвые души»</v>
      </c>
      <c r="J3" s="1">
        <f>IFERROR(__xludf.DUMMYFUNCTION("""COMPUTED_VALUE"""),402.0)</f>
        <v>402</v>
      </c>
      <c r="K3" s="1" t="str">
        <f>IFERROR(__xludf.DUMMYFUNCTION("""COMPUTED_VALUE"""),"Лирика Ф.И. Тютчева")</f>
        <v>Лирика Ф.И. Тютчева</v>
      </c>
      <c r="L3" s="1">
        <f>IFERROR(__xludf.DUMMYFUNCTION("""COMPUTED_VALUE"""),502.0)</f>
        <v>502</v>
      </c>
      <c r="M3" s="1" t="str">
        <f>IFERROR(__xludf.DUMMYFUNCTION("""COMPUTED_VALUE"""),"Особенности произведения «Война и мир»")</f>
        <v>Особенности произведения «Война и мир»</v>
      </c>
      <c r="N3" s="1">
        <f>IFERROR(__xludf.DUMMYFUNCTION("""COMPUTED_VALUE"""),602.0)</f>
        <v>602</v>
      </c>
      <c r="O3" s="1" t="str">
        <f>IFERROR(__xludf.DUMMYFUNCTION("""COMPUTED_VALUE"""),"Вишневый сад: тема, идеи")</f>
        <v>Вишневый сад: тема, идеи</v>
      </c>
      <c r="P3" s="1">
        <f>IFERROR(__xludf.DUMMYFUNCTION("""COMPUTED_VALUE"""),702.0)</f>
        <v>702</v>
      </c>
      <c r="Q3" s="1" t="str">
        <f>IFERROR(__xludf.DUMMYFUNCTION("""COMPUTED_VALUE"""),"Блок А.А. – ""Река раскинулась. Течет, грустит лениво...""")</f>
        <v>Блок А.А. – "Река раскинулась. Течет, грустит лениво..."</v>
      </c>
      <c r="R3" s="1">
        <f>IFERROR(__xludf.DUMMYFUNCTION("""COMPUTED_VALUE"""),802.0)</f>
        <v>802</v>
      </c>
      <c r="S3" s="1" t="str">
        <f>IFERROR(__xludf.DUMMYFUNCTION("""COMPUTED_VALUE"""),"М. Горький ""Старуха Изергиль"": особенности произведения")</f>
        <v>М. Горький "Старуха Изергиль": особенности произведения</v>
      </c>
      <c r="T3" s="1">
        <f>IFERROR(__xludf.DUMMYFUNCTION("""COMPUTED_VALUE"""),902.0)</f>
        <v>902</v>
      </c>
      <c r="U3" s="1" t="str">
        <f>IFERROR(__xludf.DUMMYFUNCTION("""COMPUTED_VALUE"""),"Особенности произведения «Тихий Дон»")</f>
        <v>Особенности произведения «Тихий Дон»</v>
      </c>
      <c r="V3" s="1">
        <f>IFERROR(__xludf.DUMMYFUNCTION("""COMPUTED_VALUE"""),1002.0)</f>
        <v>1002</v>
      </c>
      <c r="W3" s="1" t="str">
        <f>IFERROR(__xludf.DUMMYFUNCTION("""COMPUTED_VALUE"""),"Биография Шукшина")</f>
        <v>Биография Шукшина</v>
      </c>
      <c r="X3" s="1">
        <f>IFERROR(__xludf.DUMMYFUNCTION("""COMPUTED_VALUE"""),1102.0)</f>
        <v>1102</v>
      </c>
      <c r="Y3" s="1" t="str">
        <f>IFERROR(__xludf.DUMMYFUNCTION("""COMPUTED_VALUE"""),"У. Шекспир. Сонеты. Трагедии: «Ромео
и Джульетта», «Гамлет»")</f>
        <v>У. Шекспир. Сонеты. Трагедии: «Ромео
и Джульетта», «Гамлет»</v>
      </c>
      <c r="Z3" s="1">
        <f>IFERROR(__xludf.DUMMYFUNCTION("""COMPUTED_VALUE"""),1202.0)</f>
        <v>1202</v>
      </c>
    </row>
    <row r="4">
      <c r="A4" s="1" t="str">
        <f>IFERROR(__xludf.DUMMYFUNCTION("""COMPUTED_VALUE"""),"Художественный образ")</f>
        <v>Художественный образ</v>
      </c>
      <c r="B4" s="1">
        <f>IFERROR(__xludf.DUMMYFUNCTION("""COMPUTED_VALUE"""),3.0)</f>
        <v>3</v>
      </c>
      <c r="C4" s="1" t="str">
        <f>IFERROR(__xludf.DUMMYFUNCTION("""COMPUTED_VALUE"""),"Особенности композиции – ""Слово о полку Игореве""")</f>
        <v>Особенности композиции – "Слово о полку Игореве"</v>
      </c>
      <c r="D4" s="1">
        <f>IFERROR(__xludf.DUMMYFUNCTION("""COMPUTED_VALUE"""),103.0)</f>
        <v>103</v>
      </c>
      <c r="E4" s="1" t="str">
        <f>IFERROR(__xludf.DUMMYFUNCTION("""COMPUTED_VALUE"""),"Пушкин А.С. – «Узник»")</f>
        <v>Пушкин А.С. – «Узник»</v>
      </c>
      <c r="F4" s="1">
        <f>IFERROR(__xludf.DUMMYFUNCTION("""COMPUTED_VALUE"""),203.0)</f>
        <v>203</v>
      </c>
      <c r="G4" s="1" t="str">
        <f>IFERROR(__xludf.DUMMYFUNCTION("""COMPUTED_VALUE"""),"Лермонтов М.Ю. – «Тучи»
")</f>
        <v>Лермонтов М.Ю. – «Тучи»
</v>
      </c>
      <c r="H4" s="1">
        <f>IFERROR(__xludf.DUMMYFUNCTION("""COMPUTED_VALUE"""),303.0)</f>
        <v>303</v>
      </c>
      <c r="I4" s="1" t="str">
        <f>IFERROR(__xludf.DUMMYFUNCTION("""COMPUTED_VALUE"""),"Черты эпоса «Мертвые души»")</f>
        <v>Черты эпоса «Мертвые души»</v>
      </c>
      <c r="J4" s="1">
        <f>IFERROR(__xludf.DUMMYFUNCTION("""COMPUTED_VALUE"""),403.0)</f>
        <v>403</v>
      </c>
      <c r="K4" s="1" t="str">
        <f>IFERROR(__xludf.DUMMYFUNCTION("""COMPUTED_VALUE"""),"Ф.И. Тютчева – «Полдень»")</f>
        <v>Ф.И. Тютчева – «Полдень»</v>
      </c>
      <c r="L4" s="1">
        <f>IFERROR(__xludf.DUMMYFUNCTION("""COMPUTED_VALUE"""),503.0)</f>
        <v>503</v>
      </c>
      <c r="M4" s="1" t="str">
        <f>IFERROR(__xludf.DUMMYFUNCTION("""COMPUTED_VALUE"""),"История создания «Война и мир»")</f>
        <v>История создания «Война и мир»</v>
      </c>
      <c r="N4" s="1">
        <f>IFERROR(__xludf.DUMMYFUNCTION("""COMPUTED_VALUE"""),603.0)</f>
        <v>603</v>
      </c>
      <c r="O4" s="1" t="str">
        <f>IFERROR(__xludf.DUMMYFUNCTION("""COMPUTED_VALUE"""),"Вишневый сад: история создания")</f>
        <v>Вишневый сад: история создания</v>
      </c>
      <c r="P4" s="1">
        <f>IFERROR(__xludf.DUMMYFUNCTION("""COMPUTED_VALUE"""),703.0)</f>
        <v>703</v>
      </c>
      <c r="Q4" s="1" t="str">
        <f>IFERROR(__xludf.DUMMYFUNCTION("""COMPUTED_VALUE"""),"Блок А.А. – ""На железной дороге""")</f>
        <v>Блок А.А. – "На железной дороге"</v>
      </c>
      <c r="R4" s="1">
        <f>IFERROR(__xludf.DUMMYFUNCTION("""COMPUTED_VALUE"""),803.0)</f>
        <v>803</v>
      </c>
      <c r="S4" s="1" t="str">
        <f>IFERROR(__xludf.DUMMYFUNCTION("""COMPUTED_VALUE"""),"Темы ""Старуха Изергиль""")</f>
        <v>Темы "Старуха Изергиль"</v>
      </c>
      <c r="T4" s="1">
        <f>IFERROR(__xludf.DUMMYFUNCTION("""COMPUTED_VALUE"""),903.0)</f>
        <v>903</v>
      </c>
      <c r="U4" s="1" t="str">
        <f>IFERROR(__xludf.DUMMYFUNCTION("""COMPUTED_VALUE"""),"Темы «Тихий Дон»")</f>
        <v>Темы «Тихий Дон»</v>
      </c>
      <c r="V4" s="1">
        <f>IFERROR(__xludf.DUMMYFUNCTION("""COMPUTED_VALUE"""),1003.0)</f>
        <v>1003</v>
      </c>
      <c r="W4" s="1" t="str">
        <f>IFERROR(__xludf.DUMMYFUNCTION("""COMPUTED_VALUE"""),"Герои рассказов Шукшина")</f>
        <v>Герои рассказов Шукшина</v>
      </c>
      <c r="X4" s="1">
        <f>IFERROR(__xludf.DUMMYFUNCTION("""COMPUTED_VALUE"""),1103.0)</f>
        <v>1103</v>
      </c>
      <c r="Y4" s="1" t="str">
        <f>IFERROR(__xludf.DUMMYFUNCTION("""COMPUTED_VALUE"""),"Ж.-Б. Мольер. Одна комедия по выбору: ""Скупой"" / ""Мещанин во дворянстве""")</f>
        <v>Ж.-Б. Мольер. Одна комедия по выбору: "Скупой" / "Мещанин во дворянстве"</v>
      </c>
      <c r="Z4" s="1">
        <f>IFERROR(__xludf.DUMMYFUNCTION("""COMPUTED_VALUE"""),1203.0)</f>
        <v>1203</v>
      </c>
    </row>
    <row r="5">
      <c r="A5" s="1" t="str">
        <f>IFERROR(__xludf.DUMMYFUNCTION("""COMPUTED_VALUE"""),"Содержание и форма. Поэтика")</f>
        <v>Содержание и форма. Поэтика</v>
      </c>
      <c r="B5" s="1">
        <f>IFERROR(__xludf.DUMMYFUNCTION("""COMPUTED_VALUE"""),4.0)</f>
        <v>4</v>
      </c>
      <c r="C5" s="1" t="str">
        <f>IFERROR(__xludf.DUMMYFUNCTION("""COMPUTED_VALUE"""),"Исторический контекст – ""Слово о полку Игореве""")</f>
        <v>Исторический контекст – "Слово о полку Игореве"</v>
      </c>
      <c r="D5" s="1">
        <f>IFERROR(__xludf.DUMMYFUNCTION("""COMPUTED_VALUE"""),104.0)</f>
        <v>104</v>
      </c>
      <c r="E5" s="1" t="str">
        <f>IFERROR(__xludf.DUMMYFUNCTION("""COMPUTED_VALUE"""),"Пушкин А.С. – «Во глубине сибирских руд»")</f>
        <v>Пушкин А.С. – «Во глубине сибирских руд»</v>
      </c>
      <c r="F5" s="1">
        <f>IFERROR(__xludf.DUMMYFUNCTION("""COMPUTED_VALUE"""),204.0)</f>
        <v>204</v>
      </c>
      <c r="G5" s="1" t="str">
        <f>IFERROR(__xludf.DUMMYFUNCTION("""COMPUTED_VALUE"""),"Лермонтов М.Ю. – «Нищий»")</f>
        <v>Лермонтов М.Ю. – «Нищий»</v>
      </c>
      <c r="H5" s="1">
        <f>IFERROR(__xludf.DUMMYFUNCTION("""COMPUTED_VALUE"""),304.0)</f>
        <v>304</v>
      </c>
      <c r="I5" s="1" t="str">
        <f>IFERROR(__xludf.DUMMYFUNCTION("""COMPUTED_VALUE"""),"История создания «Мертвые души»")</f>
        <v>История создания «Мертвые души»</v>
      </c>
      <c r="J5" s="1">
        <f>IFERROR(__xludf.DUMMYFUNCTION("""COMPUTED_VALUE"""),404.0)</f>
        <v>404</v>
      </c>
      <c r="K5" s="1" t="str">
        <f>IFERROR(__xludf.DUMMYFUNCTION("""COMPUTED_VALUE"""),"Ф.И. Тютчева – «Певучесть есть в морских волнах…»")</f>
        <v>Ф.И. Тютчева – «Певучесть есть в морских волнах…»</v>
      </c>
      <c r="L5" s="1">
        <f>IFERROR(__xludf.DUMMYFUNCTION("""COMPUTED_VALUE"""),504.0)</f>
        <v>504</v>
      </c>
      <c r="M5" s="1" t="str">
        <f>IFERROR(__xludf.DUMMYFUNCTION("""COMPUTED_VALUE"""),"Толстой Л.Н. о замысле романа «Война и мир»")</f>
        <v>Толстой Л.Н. о замысле романа «Война и мир»</v>
      </c>
      <c r="N5" s="1">
        <f>IFERROR(__xludf.DUMMYFUNCTION("""COMPUTED_VALUE"""),604.0)</f>
        <v>604</v>
      </c>
      <c r="O5" s="1" t="str">
        <f>IFERROR(__xludf.DUMMYFUNCTION("""COMPUTED_VALUE"""),"Образ вишневого сада")</f>
        <v>Образ вишневого сада</v>
      </c>
      <c r="P5" s="1">
        <f>IFERROR(__xludf.DUMMYFUNCTION("""COMPUTED_VALUE"""),704.0)</f>
        <v>704</v>
      </c>
      <c r="Q5" s="1" t="str">
        <f>IFERROR(__xludf.DUMMYFUNCTION("""COMPUTED_VALUE"""),"Блок А.А. – ""Вхожу я в темные храмы...""")</f>
        <v>Блок А.А. – "Вхожу я в темные храмы..."</v>
      </c>
      <c r="R5" s="1">
        <f>IFERROR(__xludf.DUMMYFUNCTION("""COMPUTED_VALUE"""),804.0)</f>
        <v>804</v>
      </c>
      <c r="S5" s="1" t="str">
        <f>IFERROR(__xludf.DUMMYFUNCTION("""COMPUTED_VALUE"""),"Идеи ""Старуха Изергиль""")</f>
        <v>Идеи "Старуха Изергиль"</v>
      </c>
      <c r="T5" s="1">
        <f>IFERROR(__xludf.DUMMYFUNCTION("""COMPUTED_VALUE"""),904.0)</f>
        <v>904</v>
      </c>
      <c r="U5" s="1" t="str">
        <f>IFERROR(__xludf.DUMMYFUNCTION("""COMPUTED_VALUE"""),"Идеи «Тихий Дон»")</f>
        <v>Идеи «Тихий Дон»</v>
      </c>
      <c r="V5" s="1">
        <f>IFERROR(__xludf.DUMMYFUNCTION("""COMPUTED_VALUE"""),1004.0)</f>
        <v>1004</v>
      </c>
      <c r="W5" s="1" t="str">
        <f>IFERROR(__xludf.DUMMYFUNCTION("""COMPUTED_VALUE"""),"Шукшин В.М. ""Чудик"": анализ произведения")</f>
        <v>Шукшин В.М. "Чудик": анализ произведения</v>
      </c>
      <c r="X5" s="1">
        <f>IFERROR(__xludf.DUMMYFUNCTION("""COMPUTED_VALUE"""),1104.0)</f>
        <v>1104</v>
      </c>
      <c r="Y5" s="1" t="str">
        <f>IFERROR(__xludf.DUMMYFUNCTION("""COMPUTED_VALUE"""),"И.В. Гёте. Трагедия «Фауст» (фрагменты)")</f>
        <v>И.В. Гёте. Трагедия «Фауст» (фрагменты)</v>
      </c>
      <c r="Z5" s="1">
        <f>IFERROR(__xludf.DUMMYFUNCTION("""COMPUTED_VALUE"""),1204.0)</f>
        <v>1204</v>
      </c>
    </row>
    <row r="6">
      <c r="A6" s="1" t="str">
        <f>IFERROR(__xludf.DUMMYFUNCTION("""COMPUTED_VALUE"""),"Авторский замысел и его воплощение")</f>
        <v>Авторский замысел и его воплощение</v>
      </c>
      <c r="B6" s="1">
        <f>IFERROR(__xludf.DUMMYFUNCTION("""COMPUTED_VALUE"""),5.0)</f>
        <v>5</v>
      </c>
      <c r="C6" s="1" t="str">
        <f>IFERROR(__xludf.DUMMYFUNCTION("""COMPUTED_VALUE"""),"История публикации – ""Слово о полку Игореве""")</f>
        <v>История публикации – "Слово о полку Игореве"</v>
      </c>
      <c r="D6" s="1">
        <f>IFERROR(__xludf.DUMMYFUNCTION("""COMPUTED_VALUE"""),105.0)</f>
        <v>105</v>
      </c>
      <c r="E6" s="1" t="str">
        <f>IFERROR(__xludf.DUMMYFUNCTION("""COMPUTED_VALUE"""),"Пушкин А.С. – «Поэт»")</f>
        <v>Пушкин А.С. – «Поэт»</v>
      </c>
      <c r="F6" s="1">
        <f>IFERROR(__xludf.DUMMYFUNCTION("""COMPUTED_VALUE"""),205.0)</f>
        <v>205</v>
      </c>
      <c r="G6" s="1" t="str">
        <f>IFERROR(__xludf.DUMMYFUNCTION("""COMPUTED_VALUE"""),"Лермонтов М.Ю. – «Из-под таинственной, холодной полумаски»")</f>
        <v>Лермонтов М.Ю. – «Из-под таинственной, холодной полумаски»</v>
      </c>
      <c r="H6" s="1">
        <f>IFERROR(__xludf.DUMMYFUNCTION("""COMPUTED_VALUE"""),305.0)</f>
        <v>305</v>
      </c>
      <c r="I6" s="1" t="str">
        <f>IFERROR(__xludf.DUMMYFUNCTION("""COMPUTED_VALUE"""),"Темы «Мертвые души»")</f>
        <v>Темы «Мертвые души»</v>
      </c>
      <c r="J6" s="1">
        <f>IFERROR(__xludf.DUMMYFUNCTION("""COMPUTED_VALUE"""),405.0)</f>
        <v>405</v>
      </c>
      <c r="K6" s="1" t="str">
        <f>IFERROR(__xludf.DUMMYFUNCTION("""COMPUTED_VALUE"""),"Ф.И. Тютчева – «С поляны коршун поднялся»")</f>
        <v>Ф.И. Тютчева – «С поляны коршун поднялся»</v>
      </c>
      <c r="L6" s="1">
        <f>IFERROR(__xludf.DUMMYFUNCTION("""COMPUTED_VALUE"""),505.0)</f>
        <v>505</v>
      </c>
      <c r="M6" s="1" t="str">
        <f>IFERROR(__xludf.DUMMYFUNCTION("""COMPUTED_VALUE"""),"Основные даты в замысле «Война и мир»")</f>
        <v>Основные даты в замысле «Война и мир»</v>
      </c>
      <c r="N6" s="1">
        <f>IFERROR(__xludf.DUMMYFUNCTION("""COMPUTED_VALUE"""),605.0)</f>
        <v>605</v>
      </c>
      <c r="O6" s="1" t="str">
        <f>IFERROR(__xludf.DUMMYFUNCTION("""COMPUTED_VALUE"""),"Вишневый сад: система образов")</f>
        <v>Вишневый сад: система образов</v>
      </c>
      <c r="P6" s="1">
        <f>IFERROR(__xludf.DUMMYFUNCTION("""COMPUTED_VALUE"""),705.0)</f>
        <v>705</v>
      </c>
      <c r="Q6" s="1" t="str">
        <f>IFERROR(__xludf.DUMMYFUNCTION("""COMPUTED_VALUE"""),"Блок А.А. – ""Фабрика""")</f>
        <v>Блок А.А. – "Фабрика"</v>
      </c>
      <c r="R6" s="1">
        <f>IFERROR(__xludf.DUMMYFUNCTION("""COMPUTED_VALUE"""),805.0)</f>
        <v>805</v>
      </c>
      <c r="S6" s="1" t="str">
        <f>IFERROR(__xludf.DUMMYFUNCTION("""COMPUTED_VALUE"""),"Романтизм М. Горького ""Старуха Изергиль""")</f>
        <v>Романтизм М. Горького "Старуха Изергиль"</v>
      </c>
      <c r="T6" s="1">
        <f>IFERROR(__xludf.DUMMYFUNCTION("""COMPUTED_VALUE"""),905.0)</f>
        <v>905</v>
      </c>
      <c r="U6" s="1" t="str">
        <f>IFERROR(__xludf.DUMMYFUNCTION("""COMPUTED_VALUE"""),"История создания «Тихий Дон»")</f>
        <v>История создания «Тихий Дон»</v>
      </c>
      <c r="V6" s="1">
        <f>IFERROR(__xludf.DUMMYFUNCTION("""COMPUTED_VALUE"""),1005.0)</f>
        <v>1005</v>
      </c>
      <c r="W6" s="1" t="str">
        <f>IFERROR(__xludf.DUMMYFUNCTION("""COMPUTED_VALUE"""),"Шукшин В.М. ""Срезал"": анализ произведения")</f>
        <v>Шукшин В.М. "Срезал": анализ произведения</v>
      </c>
      <c r="X6" s="1">
        <f>IFERROR(__xludf.DUMMYFUNCTION("""COMPUTED_VALUE"""),1105.0)</f>
        <v>1105</v>
      </c>
      <c r="Y6" s="1" t="str">
        <f>IFERROR(__xludf.DUMMYFUNCTION("""COMPUTED_VALUE"""),"О. Бальзак. Романы «Гобсек», «Шагреневая кожа»")</f>
        <v>О. Бальзак. Романы «Гобсек», «Шагреневая кожа»</v>
      </c>
      <c r="Z6" s="1">
        <f>IFERROR(__xludf.DUMMYFUNCTION("""COMPUTED_VALUE"""),1205.0)</f>
        <v>1205</v>
      </c>
    </row>
    <row r="7">
      <c r="A7" s="1" t="str">
        <f>IFERROR(__xludf.DUMMYFUNCTION("""COMPUTED_VALUE"""),"Художественный вымысел. Фантастика")</f>
        <v>Художественный вымысел. Фантастика</v>
      </c>
      <c r="B7" s="1">
        <f>IFERROR(__xludf.DUMMYFUNCTION("""COMPUTED_VALUE"""),6.0)</f>
        <v>6</v>
      </c>
      <c r="C7" s="1" t="str">
        <f>IFERROR(__xludf.DUMMYFUNCTION("""COMPUTED_VALUE"""),"Автор произведения – ""Слово о полку Игореве""")</f>
        <v>Автор произведения – "Слово о полку Игореве"</v>
      </c>
      <c r="D7" s="1">
        <f>IFERROR(__xludf.DUMMYFUNCTION("""COMPUTED_VALUE"""),106.0)</f>
        <v>106</v>
      </c>
      <c r="E7" s="1" t="str">
        <f>IFERROR(__xludf.DUMMYFUNCTION("""COMPUTED_VALUE"""),"Пушкин А.С. – «К Чаадаеву»")</f>
        <v>Пушкин А.С. – «К Чаадаеву»</v>
      </c>
      <c r="F7" s="1">
        <f>IFERROR(__xludf.DUMMYFUNCTION("""COMPUTED_VALUE"""),206.0)</f>
        <v>206</v>
      </c>
      <c r="G7" s="1" t="str">
        <f>IFERROR(__xludf.DUMMYFUNCTION("""COMPUTED_VALUE"""),"Лермонтов М.Ю. – «Парус»")</f>
        <v>Лермонтов М.Ю. – «Парус»</v>
      </c>
      <c r="H7" s="1">
        <f>IFERROR(__xludf.DUMMYFUNCTION("""COMPUTED_VALUE"""),306.0)</f>
        <v>306</v>
      </c>
      <c r="I7" s="1" t="str">
        <f>IFERROR(__xludf.DUMMYFUNCTION("""COMPUTED_VALUE"""),"Идеи «Мертвые души»")</f>
        <v>Идеи «Мертвые души»</v>
      </c>
      <c r="J7" s="1">
        <f>IFERROR(__xludf.DUMMYFUNCTION("""COMPUTED_VALUE"""),406.0)</f>
        <v>406</v>
      </c>
      <c r="K7" s="1" t="str">
        <f>IFERROR(__xludf.DUMMYFUNCTION("""COMPUTED_VALUE"""),"Ф.И. Тютчева – «Есть в осени первоначальной»")</f>
        <v>Ф.И. Тютчева – «Есть в осени первоначальной»</v>
      </c>
      <c r="L7" s="1">
        <f>IFERROR(__xludf.DUMMYFUNCTION("""COMPUTED_VALUE"""),506.0)</f>
        <v>506</v>
      </c>
      <c r="M7" s="1" t="str">
        <f>IFERROR(__xludf.DUMMYFUNCTION("""COMPUTED_VALUE"""),"Время в произведении «Война и мир»")</f>
        <v>Время в произведении «Война и мир»</v>
      </c>
      <c r="N7" s="1">
        <f>IFERROR(__xludf.DUMMYFUNCTION("""COMPUTED_VALUE"""),606.0)</f>
        <v>606</v>
      </c>
      <c r="O7" s="1" t="str">
        <f>IFERROR(__xludf.DUMMYFUNCTION("""COMPUTED_VALUE"""),"Бунин И.А. ""Господин из Сан-Франциско"": особенности произведения")</f>
        <v>Бунин И.А. "Господин из Сан-Франциско": особенности произведения</v>
      </c>
      <c r="P7" s="1">
        <f>IFERROR(__xludf.DUMMYFUNCTION("""COMPUTED_VALUE"""),706.0)</f>
        <v>706</v>
      </c>
      <c r="Q7" s="1" t="str">
        <f>IFERROR(__xludf.DUMMYFUNCTION("""COMPUTED_VALUE"""),"Блок А.А. – ""Русь""")</f>
        <v>Блок А.А. – "Русь"</v>
      </c>
      <c r="R7" s="1">
        <f>IFERROR(__xludf.DUMMYFUNCTION("""COMPUTED_VALUE"""),806.0)</f>
        <v>806</v>
      </c>
      <c r="S7" s="1" t="str">
        <f>IFERROR(__xludf.DUMMYFUNCTION("""COMPUTED_VALUE"""),"Основные образы ""Старуха Изергиль""")</f>
        <v>Основные образы "Старуха Изергиль"</v>
      </c>
      <c r="T7" s="1">
        <f>IFERROR(__xludf.DUMMYFUNCTION("""COMPUTED_VALUE"""),906.0)</f>
        <v>906</v>
      </c>
      <c r="U7" s="1" t="str">
        <f>IFERROR(__xludf.DUMMYFUNCTION("""COMPUTED_VALUE"""),"Действие в романе-эпопее «Тихий Дон»")</f>
        <v>Действие в романе-эпопее «Тихий Дон»</v>
      </c>
      <c r="V7" s="1">
        <f>IFERROR(__xludf.DUMMYFUNCTION("""COMPUTED_VALUE"""),1006.0)</f>
        <v>1006</v>
      </c>
      <c r="W7" s="1" t="str">
        <f>IFERROR(__xludf.DUMMYFUNCTION("""COMPUTED_VALUE"""),"Шукшин В.М. ""Микроскоп"": анализ произведения")</f>
        <v>Шукшин В.М. "Микроскоп": анализ произведения</v>
      </c>
      <c r="X7" s="1">
        <f>IFERROR(__xludf.DUMMYFUNCTION("""COMPUTED_VALUE"""),1106.0)</f>
        <v>1106</v>
      </c>
      <c r="Y7" s="1" t="str">
        <f>IFERROR(__xludf.DUMMYFUNCTION("""COMPUTED_VALUE"""),"Г. Бёлль. Роман «Глазами клоуна»")</f>
        <v>Г. Бёлль. Роман «Глазами клоуна»</v>
      </c>
      <c r="Z7" s="1">
        <f>IFERROR(__xludf.DUMMYFUNCTION("""COMPUTED_VALUE"""),1206.0)</f>
        <v>1206</v>
      </c>
    </row>
    <row r="8">
      <c r="A8" s="1" t="str">
        <f>IFERROR(__xludf.DUMMYFUNCTION("""COMPUTED_VALUE"""),"Историко-литературный процесс")</f>
        <v>Историко-литературный процесс</v>
      </c>
      <c r="B8" s="1">
        <f>IFERROR(__xludf.DUMMYFUNCTION("""COMPUTED_VALUE"""),7.0)</f>
        <v>7</v>
      </c>
      <c r="C8" s="1" t="str">
        <f>IFERROR(__xludf.DUMMYFUNCTION("""COMPUTED_VALUE"""),"Сон Святослава")</f>
        <v>Сон Святослава</v>
      </c>
      <c r="D8" s="1">
        <f>IFERROR(__xludf.DUMMYFUNCTION("""COMPUTED_VALUE"""),107.0)</f>
        <v>107</v>
      </c>
      <c r="E8" s="1" t="str">
        <f>IFERROR(__xludf.DUMMYFUNCTION("""COMPUTED_VALUE"""),"Пушкин А.С. – «К морю»")</f>
        <v>Пушкин А.С. – «К морю»</v>
      </c>
      <c r="F8" s="1">
        <f>IFERROR(__xludf.DUMMYFUNCTION("""COMPUTED_VALUE"""),207.0)</f>
        <v>207</v>
      </c>
      <c r="G8" s="1" t="str">
        <f>IFERROR(__xludf.DUMMYFUNCTION("""COMPUTED_VALUE"""),"Лермонтов М.Ю. – «Смерть поэта»")</f>
        <v>Лермонтов М.Ю. – «Смерть поэта»</v>
      </c>
      <c r="H8" s="1">
        <f>IFERROR(__xludf.DUMMYFUNCTION("""COMPUTED_VALUE"""),307.0)</f>
        <v>307</v>
      </c>
      <c r="I8" s="1" t="str">
        <f>IFERROR(__xludf.DUMMYFUNCTION("""COMPUTED_VALUE"""),"Проблематика «Мертвые души»")</f>
        <v>Проблематика «Мертвые души»</v>
      </c>
      <c r="J8" s="1">
        <f>IFERROR(__xludf.DUMMYFUNCTION("""COMPUTED_VALUE"""),407.0)</f>
        <v>407</v>
      </c>
      <c r="K8" s="1" t="str">
        <f>IFERROR(__xludf.DUMMYFUNCTION("""COMPUTED_VALUE"""),"Ф.И. Тютчева – «Silentium!»")</f>
        <v>Ф.И. Тютчева – «Silentium!»</v>
      </c>
      <c r="L8" s="1">
        <f>IFERROR(__xludf.DUMMYFUNCTION("""COMPUTED_VALUE"""),507.0)</f>
        <v>507</v>
      </c>
      <c r="M8" s="1" t="str">
        <f>IFERROR(__xludf.DUMMYFUNCTION("""COMPUTED_VALUE"""),"Основные темы «Война и мир»")</f>
        <v>Основные темы «Война и мир»</v>
      </c>
      <c r="N8" s="1">
        <f>IFERROR(__xludf.DUMMYFUNCTION("""COMPUTED_VALUE"""),607.0)</f>
        <v>607</v>
      </c>
      <c r="O8" s="1" t="str">
        <f>IFERROR(__xludf.DUMMYFUNCTION("""COMPUTED_VALUE"""),"Сюжет и композиция ""Господин из Сан-Франциско""")</f>
        <v>Сюжет и композиция "Господин из Сан-Франциско"</v>
      </c>
      <c r="P8" s="1">
        <f>IFERROR(__xludf.DUMMYFUNCTION("""COMPUTED_VALUE"""),707.0)</f>
        <v>707</v>
      </c>
      <c r="Q8" s="1" t="str">
        <f>IFERROR(__xludf.DUMMYFUNCTION("""COMPUTED_VALUE"""),"Блок А.А. – ""О доблестях, о подвигах, о славе...""")</f>
        <v>Блок А.А. – "О доблестях, о подвигах, о славе..."</v>
      </c>
      <c r="R8" s="1">
        <f>IFERROR(__xludf.DUMMYFUNCTION("""COMPUTED_VALUE"""),807.0)</f>
        <v>807</v>
      </c>
      <c r="S8" s="1" t="str">
        <f>IFERROR(__xludf.DUMMYFUNCTION("""COMPUTED_VALUE"""),"М. Горький ""На дне"": особенности произведения")</f>
        <v>М. Горький "На дне": особенности произведения</v>
      </c>
      <c r="T8" s="1">
        <f>IFERROR(__xludf.DUMMYFUNCTION("""COMPUTED_VALUE"""),907.0)</f>
        <v>907</v>
      </c>
      <c r="U8" s="1" t="str">
        <f>IFERROR(__xludf.DUMMYFUNCTION("""COMPUTED_VALUE"""),"Дон — казацкая вольница «Тихий Дон»")</f>
        <v>Дон — казацкая вольница «Тихий Дон»</v>
      </c>
      <c r="V8" s="1">
        <f>IFERROR(__xludf.DUMMYFUNCTION("""COMPUTED_VALUE"""),1007.0)</f>
        <v>1007</v>
      </c>
      <c r="W8" s="1" t="str">
        <f>IFERROR(__xludf.DUMMYFUNCTION("""COMPUTED_VALUE"""),"Шукшин В.М. ""Космос, нервная система и шмат сала"": анализ произведения")</f>
        <v>Шукшин В.М. "Космос, нервная система и шмат сала": анализ произведения</v>
      </c>
      <c r="X8" s="1">
        <f>IFERROR(__xludf.DUMMYFUNCTION("""COMPUTED_VALUE"""),1107.0)</f>
        <v>1107</v>
      </c>
      <c r="Y8" s="1" t="str">
        <f>IFERROR(__xludf.DUMMYFUNCTION("""COMPUTED_VALUE"""),"Р. Брэдбери. Роман «451 градус по Фаренгейту»")</f>
        <v>Р. Брэдбери. Роман «451 градус по Фаренгейту»</v>
      </c>
      <c r="Z8" s="1">
        <f>IFERROR(__xludf.DUMMYFUNCTION("""COMPUTED_VALUE"""),1207.0)</f>
        <v>1207</v>
      </c>
    </row>
    <row r="9">
      <c r="A9" s="1" t="str">
        <f>IFERROR(__xludf.DUMMYFUNCTION("""COMPUTED_VALUE"""),"Классицизм")</f>
        <v>Классицизм</v>
      </c>
      <c r="B9" s="1">
        <f>IFERROR(__xludf.DUMMYFUNCTION("""COMPUTED_VALUE"""),8.0)</f>
        <v>8</v>
      </c>
      <c r="C9" s="1" t="str">
        <f>IFERROR(__xludf.DUMMYFUNCTION("""COMPUTED_VALUE"""),"«Золотое слово» Святослава")</f>
        <v>«Золотое слово» Святослава</v>
      </c>
      <c r="D9" s="1">
        <f>IFERROR(__xludf.DUMMYFUNCTION("""COMPUTED_VALUE"""),108.0)</f>
        <v>108</v>
      </c>
      <c r="E9" s="1" t="str">
        <f>IFERROR(__xludf.DUMMYFUNCTION("""COMPUTED_VALUE"""),"Пушкин А.С. – «Няне»")</f>
        <v>Пушкин А.С. – «Няне»</v>
      </c>
      <c r="F9" s="1">
        <f>IFERROR(__xludf.DUMMYFUNCTION("""COMPUTED_VALUE"""),208.0)</f>
        <v>208</v>
      </c>
      <c r="G9" s="1" t="str">
        <f>IFERROR(__xludf.DUMMYFUNCTION("""COMPUTED_VALUE"""),"Лермонтов М.Ю. – «Родина»")</f>
        <v>Лермонтов М.Ю. – «Родина»</v>
      </c>
      <c r="H9" s="1">
        <f>IFERROR(__xludf.DUMMYFUNCTION("""COMPUTED_VALUE"""),308.0)</f>
        <v>308</v>
      </c>
      <c r="I9" s="1" t="str">
        <f>IFERROR(__xludf.DUMMYFUNCTION("""COMPUTED_VALUE"""),"Композиция и сюжет «Мертвые души»")</f>
        <v>Композиция и сюжет «Мертвые души»</v>
      </c>
      <c r="J9" s="1">
        <f>IFERROR(__xludf.DUMMYFUNCTION("""COMPUTED_VALUE"""),408.0)</f>
        <v>408</v>
      </c>
      <c r="K9" s="1" t="str">
        <f>IFERROR(__xludf.DUMMYFUNCTION("""COMPUTED_VALUE"""),"Ф.И. Тютчева – «Не то, что мните вы, природа…»")</f>
        <v>Ф.И. Тютчева – «Не то, что мните вы, природа…»</v>
      </c>
      <c r="L9" s="1">
        <f>IFERROR(__xludf.DUMMYFUNCTION("""COMPUTED_VALUE"""),508.0)</f>
        <v>508</v>
      </c>
      <c r="M9" s="1" t="str">
        <f>IFERROR(__xludf.DUMMYFUNCTION("""COMPUTED_VALUE"""),"Воплощение представлений автора «Война и мир»")</f>
        <v>Воплощение представлений автора «Война и мир»</v>
      </c>
      <c r="N9" s="1">
        <f>IFERROR(__xludf.DUMMYFUNCTION("""COMPUTED_VALUE"""),608.0)</f>
        <v>608</v>
      </c>
      <c r="O9" s="1" t="str">
        <f>IFERROR(__xludf.DUMMYFUNCTION("""COMPUTED_VALUE"""),"Темы, идеи ""Господин из Сан-Франциско""")</f>
        <v>Темы, идеи "Господин из Сан-Франциско"</v>
      </c>
      <c r="P9" s="1">
        <f>IFERROR(__xludf.DUMMYFUNCTION("""COMPUTED_VALUE"""),708.0)</f>
        <v>708</v>
      </c>
      <c r="Q9" s="1" t="str">
        <f>IFERROR(__xludf.DUMMYFUNCTION("""COMPUTED_VALUE"""),"Блок А.А. – ""О, я хочу безумно жить...""")</f>
        <v>Блок А.А. – "О, я хочу безумно жить..."</v>
      </c>
      <c r="R9" s="1">
        <f>IFERROR(__xludf.DUMMYFUNCTION("""COMPUTED_VALUE"""),808.0)</f>
        <v>808</v>
      </c>
      <c r="S9" s="1" t="str">
        <f>IFERROR(__xludf.DUMMYFUNCTION("""COMPUTED_VALUE"""),"История создания ""На дне""")</f>
        <v>История создания "На дне"</v>
      </c>
      <c r="T9" s="1">
        <f>IFERROR(__xludf.DUMMYFUNCTION("""COMPUTED_VALUE"""),908.0)</f>
        <v>908</v>
      </c>
      <c r="U9" s="1" t="str">
        <f>IFERROR(__xludf.DUMMYFUNCTION("""COMPUTED_VALUE"""),"Изображение донского казачества «Тихий Дон»")</f>
        <v>Изображение донского казачества «Тихий Дон»</v>
      </c>
      <c r="V9" s="1">
        <f>IFERROR(__xludf.DUMMYFUNCTION("""COMPUTED_VALUE"""),1008.0)</f>
        <v>1008</v>
      </c>
      <c r="W9" s="1" t="str">
        <f>IFERROR(__xludf.DUMMYFUNCTION("""COMPUTED_VALUE"""),"Солженицын А.И. ""Матренин двор""")</f>
        <v>Солженицын А.И. "Матренин двор"</v>
      </c>
      <c r="X9" s="1">
        <f>IFERROR(__xludf.DUMMYFUNCTION("""COMPUTED_VALUE"""),1108.0)</f>
        <v>1108</v>
      </c>
      <c r="Y9" s="1" t="str">
        <f>IFERROR(__xludf.DUMMYFUNCTION("""COMPUTED_VALUE"""),"
У. Голдинг. Роман «Повелитель мух»")</f>
        <v>
У. Голдинг. Роман «Повелитель мух»</v>
      </c>
      <c r="Z9" s="1">
        <f>IFERROR(__xludf.DUMMYFUNCTION("""COMPUTED_VALUE"""),1208.0)</f>
        <v>1208</v>
      </c>
    </row>
    <row r="10">
      <c r="A10" s="1" t="str">
        <f>IFERROR(__xludf.DUMMYFUNCTION("""COMPUTED_VALUE"""),"Сентиментализм")</f>
        <v>Сентиментализм</v>
      </c>
      <c r="B10" s="1">
        <f>IFERROR(__xludf.DUMMYFUNCTION("""COMPUTED_VALUE"""),9.0)</f>
        <v>9</v>
      </c>
      <c r="C10" s="1" t="str">
        <f>IFERROR(__xludf.DUMMYFUNCTION("""COMPUTED_VALUE"""),"Плач Ярославны")</f>
        <v>Плач Ярославны</v>
      </c>
      <c r="D10" s="1">
        <f>IFERROR(__xludf.DUMMYFUNCTION("""COMPUTED_VALUE"""),109.0)</f>
        <v>109</v>
      </c>
      <c r="E10" s="1" t="str">
        <f>IFERROR(__xludf.DUMMYFUNCTION("""COMPUTED_VALUE"""),"Пушкин А.С. – «К***»")</f>
        <v>Пушкин А.С. – «К***»</v>
      </c>
      <c r="F10" s="1">
        <f>IFERROR(__xludf.DUMMYFUNCTION("""COMPUTED_VALUE"""),209.0)</f>
        <v>209</v>
      </c>
      <c r="G10" s="1" t="str">
        <f>IFERROR(__xludf.DUMMYFUNCTION("""COMPUTED_VALUE"""),"Лермонтов М.Ю. – «Сон»")</f>
        <v>Лермонтов М.Ю. – «Сон»</v>
      </c>
      <c r="H10" s="1">
        <f>IFERROR(__xludf.DUMMYFUNCTION("""COMPUTED_VALUE"""),309.0)</f>
        <v>309</v>
      </c>
      <c r="I10" s="1" t="str">
        <f>IFERROR(__xludf.DUMMYFUNCTION("""COMPUTED_VALUE"""),"Гоголь Н.В. — «Мертвые души»: краткие сведения")</f>
        <v>Гоголь Н.В. — «Мертвые души»: краткие сведения</v>
      </c>
      <c r="J10" s="1">
        <f>IFERROR(__xludf.DUMMYFUNCTION("""COMPUTED_VALUE"""),409.0)</f>
        <v>409</v>
      </c>
      <c r="K10" s="1" t="str">
        <f>IFERROR(__xludf.DUMMYFUNCTION("""COMPUTED_VALUE"""),"Ф.И. Тютчева – «Умом Россию не понять…»")</f>
        <v>Ф.И. Тютчева – «Умом Россию не понять…»</v>
      </c>
      <c r="L10" s="1">
        <f>IFERROR(__xludf.DUMMYFUNCTION("""COMPUTED_VALUE"""),509.0)</f>
        <v>509</v>
      </c>
      <c r="M10" s="1" t="str">
        <f>IFERROR(__xludf.DUMMYFUNCTION("""COMPUTED_VALUE"""),"Миры в романе-эпопее «Война и мир»")</f>
        <v>Миры в романе-эпопее «Война и мир»</v>
      </c>
      <c r="N10" s="1">
        <f>IFERROR(__xludf.DUMMYFUNCTION("""COMPUTED_VALUE"""),609.0)</f>
        <v>609</v>
      </c>
      <c r="O10" s="1" t="str">
        <f>IFERROR(__xludf.DUMMYFUNCTION("""COMPUTED_VALUE"""),"Проблематика ""Господин из Сан-Франциско""")</f>
        <v>Проблематика "Господин из Сан-Франциско"</v>
      </c>
      <c r="P10" s="1">
        <f>IFERROR(__xludf.DUMMYFUNCTION("""COMPUTED_VALUE"""),709.0)</f>
        <v>709</v>
      </c>
      <c r="Q10" s="1" t="str">
        <f>IFERROR(__xludf.DUMMYFUNCTION("""COMPUTED_VALUE"""),"Блок А.А. – «О, весна без конца и без краю…»")</f>
        <v>Блок А.А. – «О, весна без конца и без краю…»</v>
      </c>
      <c r="R10" s="1">
        <f>IFERROR(__xludf.DUMMYFUNCTION("""COMPUTED_VALUE"""),809.0)</f>
        <v>809</v>
      </c>
      <c r="S10" s="1" t="str">
        <f>IFERROR(__xludf.DUMMYFUNCTION("""COMPUTED_VALUE"""),"Новаторство пьесы ""На дне""")</f>
        <v>Новаторство пьесы "На дне"</v>
      </c>
      <c r="T10" s="1">
        <f>IFERROR(__xludf.DUMMYFUNCTION("""COMPUTED_VALUE"""),909.0)</f>
        <v>909</v>
      </c>
      <c r="U10" s="1" t="str">
        <f>IFERROR(__xludf.DUMMYFUNCTION("""COMPUTED_VALUE"""),"Особенности композиции «Тихий Дон»")</f>
        <v>Особенности композиции «Тихий Дон»</v>
      </c>
      <c r="V10" s="1">
        <f>IFERROR(__xludf.DUMMYFUNCTION("""COMPUTED_VALUE"""),1009.0)</f>
        <v>1009</v>
      </c>
      <c r="W10" s="1" t="str">
        <f>IFERROR(__xludf.DUMMYFUNCTION("""COMPUTED_VALUE"""),"Темы, идеи ""Матренин двор""")</f>
        <v>Темы, идеи "Матренин двор"</v>
      </c>
      <c r="X10" s="1">
        <f>IFERROR(__xludf.DUMMYFUNCTION("""COMPUTED_VALUE"""),1109.0)</f>
        <v>1109</v>
      </c>
      <c r="Y10" s="1" t="str">
        <f>IFERROR(__xludf.DUMMYFUNCTION("""COMPUTED_VALUE"""),"
Ч. Диккенс. Роман «Лавка древностей», повесть «Рождественская песнь в прозе»")</f>
        <v>
Ч. Диккенс. Роман «Лавка древностей», повесть «Рождественская песнь в прозе»</v>
      </c>
      <c r="Z10" s="1">
        <f>IFERROR(__xludf.DUMMYFUNCTION("""COMPUTED_VALUE"""),1209.0)</f>
        <v>1209</v>
      </c>
    </row>
    <row r="11">
      <c r="A11" s="1" t="str">
        <f>IFERROR(__xludf.DUMMYFUNCTION("""COMPUTED_VALUE"""),"Романтизм")</f>
        <v>Романтизм</v>
      </c>
      <c r="B11" s="1">
        <f>IFERROR(__xludf.DUMMYFUNCTION("""COMPUTED_VALUE"""),10.0)</f>
        <v>10</v>
      </c>
      <c r="C11" s="1" t="str">
        <f>IFERROR(__xludf.DUMMYFUNCTION("""COMPUTED_VALUE"""),"Образ Бояна")</f>
        <v>Образ Бояна</v>
      </c>
      <c r="D11" s="1">
        <f>IFERROR(__xludf.DUMMYFUNCTION("""COMPUTED_VALUE"""),110.0)</f>
        <v>110</v>
      </c>
      <c r="E11" s="1" t="str">
        <f>IFERROR(__xludf.DUMMYFUNCTION("""COMPUTED_VALUE"""),"Пушкин А.С. – «19 октября»")</f>
        <v>Пушкин А.С. – «19 октября»</v>
      </c>
      <c r="F11" s="1">
        <f>IFERROR(__xludf.DUMMYFUNCTION("""COMPUTED_VALUE"""),210.0)</f>
        <v>210</v>
      </c>
      <c r="G11" s="1" t="str">
        <f>IFERROR(__xludf.DUMMYFUNCTION("""COMPUTED_VALUE"""),"Лермонтов М.Ю. – «Пророк»")</f>
        <v>Лермонтов М.Ю. – «Пророк»</v>
      </c>
      <c r="H11" s="1">
        <f>IFERROR(__xludf.DUMMYFUNCTION("""COMPUTED_VALUE"""),310.0)</f>
        <v>310</v>
      </c>
      <c r="I11" s="1" t="str">
        <f>IFERROR(__xludf.DUMMYFUNCTION("""COMPUTED_VALUE"""),"Герцен А.И. о «Мертвых душах»")</f>
        <v>Герцен А.И. о «Мертвых душах»</v>
      </c>
      <c r="J11" s="1">
        <f>IFERROR(__xludf.DUMMYFUNCTION("""COMPUTED_VALUE"""),410.0)</f>
        <v>410</v>
      </c>
      <c r="K11" s="1" t="str">
        <f>IFERROR(__xludf.DUMMYFUNCTION("""COMPUTED_VALUE"""),"Ф.И. Тютчева – «О, как убийственно мы любим…»")</f>
        <v>Ф.И. Тютчева – «О, как убийственно мы любим…»</v>
      </c>
      <c r="L11" s="1">
        <f>IFERROR(__xludf.DUMMYFUNCTION("""COMPUTED_VALUE"""),510.0)</f>
        <v>510</v>
      </c>
      <c r="M11" s="1" t="str">
        <f>IFERROR(__xludf.DUMMYFUNCTION("""COMPUTED_VALUE"""),"Основные идеи «Война и мир»")</f>
        <v>Основные идеи «Война и мир»</v>
      </c>
      <c r="N11" s="1">
        <f>IFERROR(__xludf.DUMMYFUNCTION("""COMPUTED_VALUE"""),610.0)</f>
        <v>610</v>
      </c>
      <c r="O11" s="1" t="str">
        <f>IFERROR(__xludf.DUMMYFUNCTION("""COMPUTED_VALUE"""),"Образы-символы ""Господин из Сан-Франциско""")</f>
        <v>Образы-символы "Господин из Сан-Франциско"</v>
      </c>
      <c r="P11" s="1">
        <f>IFERROR(__xludf.DUMMYFUNCTION("""COMPUTED_VALUE"""),710.0)</f>
        <v>710</v>
      </c>
      <c r="Q11" s="1" t="str">
        <f>IFERROR(__xludf.DUMMYFUNCTION("""COMPUTED_VALUE"""),"Блок А.А. ""Двенадцать"": особенности произведения")</f>
        <v>Блок А.А. "Двенадцать": особенности произведения</v>
      </c>
      <c r="R11" s="1">
        <f>IFERROR(__xludf.DUMMYFUNCTION("""COMPUTED_VALUE"""),810.0)</f>
        <v>810</v>
      </c>
      <c r="S11" s="1" t="str">
        <f>IFERROR(__xludf.DUMMYFUNCTION("""COMPUTED_VALUE"""),"Темы ""На дне""")</f>
        <v>Темы "На дне"</v>
      </c>
      <c r="T11" s="1">
        <f>IFERROR(__xludf.DUMMYFUNCTION("""COMPUTED_VALUE"""),910.0)</f>
        <v>910</v>
      </c>
      <c r="U11" s="1" t="str">
        <f>IFERROR(__xludf.DUMMYFUNCTION("""COMPUTED_VALUE"""),"М.А. Шолохов ""Судьба человека"": особенности произведения")</f>
        <v>М.А. Шолохов "Судьба человека": особенности произведения</v>
      </c>
      <c r="V11" s="1">
        <f>IFERROR(__xludf.DUMMYFUNCTION("""COMPUTED_VALUE"""),1010.0)</f>
        <v>1010</v>
      </c>
      <c r="W11" s="1" t="str">
        <f>IFERROR(__xludf.DUMMYFUNCTION("""COMPUTED_VALUE"""),"Образ Матрёны")</f>
        <v>Образ Матрёны</v>
      </c>
      <c r="X11" s="1">
        <f>IFERROR(__xludf.DUMMYFUNCTION("""COMPUTED_VALUE"""),1110.0)</f>
        <v>1110</v>
      </c>
      <c r="Y11" s="1" t="str">
        <f>IFERROR(__xludf.DUMMYFUNCTION("""COMPUTED_VALUE"""),"Г. Ибсен. Пьеса «Нора»")</f>
        <v>Г. Ибсен. Пьеса «Нора»</v>
      </c>
      <c r="Z11" s="1">
        <f>IFERROR(__xludf.DUMMYFUNCTION("""COMPUTED_VALUE"""),1210.0)</f>
        <v>1210</v>
      </c>
    </row>
    <row r="12">
      <c r="A12" s="1" t="str">
        <f>IFERROR(__xludf.DUMMYFUNCTION("""COMPUTED_VALUE"""),"Реализм")</f>
        <v>Реализм</v>
      </c>
      <c r="B12" s="1">
        <f>IFERROR(__xludf.DUMMYFUNCTION("""COMPUTED_VALUE"""),11.0)</f>
        <v>11</v>
      </c>
      <c r="C12" s="1" t="str">
        <f>IFERROR(__xludf.DUMMYFUNCTION("""COMPUTED_VALUE"""),"Образ Игоря Новгород-Северского")</f>
        <v>Образ Игоря Новгород-Северского</v>
      </c>
      <c r="D12" s="1">
        <f>IFERROR(__xludf.DUMMYFUNCTION("""COMPUTED_VALUE"""),111.0)</f>
        <v>111</v>
      </c>
      <c r="E12" s="1" t="str">
        <f>IFERROR(__xludf.DUMMYFUNCTION("""COMPUTED_VALUE"""),"Пушкин А.С. – «Пророк»")</f>
        <v>Пушкин А.С. – «Пророк»</v>
      </c>
      <c r="F12" s="1">
        <f>IFERROR(__xludf.DUMMYFUNCTION("""COMPUTED_VALUE"""),211.0)</f>
        <v>211</v>
      </c>
      <c r="G12" s="1" t="str">
        <f>IFERROR(__xludf.DUMMYFUNCTION("""COMPUTED_VALUE"""),"Лермонтов М.Ю. – «Как часто, пестрою толпою окружен»")</f>
        <v>Лермонтов М.Ю. – «Как часто, пестрою толпою окружен»</v>
      </c>
      <c r="H12" s="1">
        <f>IFERROR(__xludf.DUMMYFUNCTION("""COMPUTED_VALUE"""),311.0)</f>
        <v>311</v>
      </c>
      <c r="I12" s="1" t="str">
        <f>IFERROR(__xludf.DUMMYFUNCTION("""COMPUTED_VALUE"""),"Сюжет «Мертвые души»")</f>
        <v>Сюжет «Мертвые души»</v>
      </c>
      <c r="J12" s="1">
        <f>IFERROR(__xludf.DUMMYFUNCTION("""COMPUTED_VALUE"""),411.0)</f>
        <v>411</v>
      </c>
      <c r="K12" s="1" t="str">
        <f>IFERROR(__xludf.DUMMYFUNCTION("""COMPUTED_VALUE"""),"Ф.И. Тютчева – «Нам не дано предугадать…»")</f>
        <v>Ф.И. Тютчева – «Нам не дано предугадать…»</v>
      </c>
      <c r="L12" s="1">
        <f>IFERROR(__xludf.DUMMYFUNCTION("""COMPUTED_VALUE"""),511.0)</f>
        <v>511</v>
      </c>
      <c r="M12" s="1" t="str">
        <f>IFERROR(__xludf.DUMMYFUNCTION("""COMPUTED_VALUE"""),"История названия произведения «Война и мир»")</f>
        <v>История названия произведения «Война и мир»</v>
      </c>
      <c r="N12" s="1">
        <f>IFERROR(__xludf.DUMMYFUNCTION("""COMPUTED_VALUE"""),611.0)</f>
        <v>611</v>
      </c>
      <c r="O12" s="1" t="str">
        <f>IFERROR(__xludf.DUMMYFUNCTION("""COMPUTED_VALUE"""),"Основные образы (персонажи) ""Господин из Сан-Франциско""")</f>
        <v>Основные образы (персонажи) "Господин из Сан-Франциско"</v>
      </c>
      <c r="P12" s="1">
        <f>IFERROR(__xludf.DUMMYFUNCTION("""COMPUTED_VALUE"""),711.0)</f>
        <v>711</v>
      </c>
      <c r="Q12" s="1" t="str">
        <f>IFERROR(__xludf.DUMMYFUNCTION("""COMPUTED_VALUE"""),"Тема, идеи ""Двенадцать""")</f>
        <v>Тема, идеи "Двенадцать"</v>
      </c>
      <c r="R12" s="1">
        <f>IFERROR(__xludf.DUMMYFUNCTION("""COMPUTED_VALUE"""),811.0)</f>
        <v>811</v>
      </c>
      <c r="S12" s="1" t="str">
        <f>IFERROR(__xludf.DUMMYFUNCTION("""COMPUTED_VALUE"""),"Идеи ""На дне""")</f>
        <v>Идеи "На дне"</v>
      </c>
      <c r="T12" s="1">
        <f>IFERROR(__xludf.DUMMYFUNCTION("""COMPUTED_VALUE"""),911.0)</f>
        <v>911</v>
      </c>
      <c r="U12" s="1" t="str">
        <f>IFERROR(__xludf.DUMMYFUNCTION("""COMPUTED_VALUE"""),"История создания рассказа ""Судьба человека""")</f>
        <v>История создания рассказа "Судьба человека"</v>
      </c>
      <c r="V12" s="1">
        <f>IFERROR(__xludf.DUMMYFUNCTION("""COMPUTED_VALUE"""),1011.0)</f>
        <v>1011</v>
      </c>
      <c r="W12" s="1" t="str">
        <f>IFERROR(__xludf.DUMMYFUNCTION("""COMPUTED_VALUE"""),"Солженицын А.И. ""Один день Ивана Денисовича"": особенности произведения")</f>
        <v>Солженицын А.И. "Один день Ивана Денисовича": особенности произведения</v>
      </c>
      <c r="X12" s="1">
        <f>IFERROR(__xludf.DUMMYFUNCTION("""COMPUTED_VALUE"""),1111.0)</f>
        <v>1111</v>
      </c>
      <c r="Y12" s="1" t="str">
        <f>IFERROR(__xludf.DUMMYFUNCTION("""COMPUTED_VALUE"""),"А. Камю. Повесть «Посторонний»")</f>
        <v>А. Камю. Повесть «Посторонний»</v>
      </c>
      <c r="Z12" s="1">
        <f>IFERROR(__xludf.DUMMYFUNCTION("""COMPUTED_VALUE"""),1211.0)</f>
        <v>1211</v>
      </c>
    </row>
    <row r="13">
      <c r="A13" s="1" t="str">
        <f>IFERROR(__xludf.DUMMYFUNCTION("""COMPUTED_VALUE"""),"Импрессионизм")</f>
        <v>Импрессионизм</v>
      </c>
      <c r="B13" s="1">
        <f>IFERROR(__xludf.DUMMYFUNCTION("""COMPUTED_VALUE"""),12.0)</f>
        <v>12</v>
      </c>
      <c r="C13" s="1" t="str">
        <f>IFERROR(__xludf.DUMMYFUNCTION("""COMPUTED_VALUE"""),"Образ Святослава")</f>
        <v>Образ Святослава</v>
      </c>
      <c r="D13" s="1">
        <f>IFERROR(__xludf.DUMMYFUNCTION("""COMPUTED_VALUE"""),112.0)</f>
        <v>112</v>
      </c>
      <c r="E13" s="1" t="str">
        <f>IFERROR(__xludf.DUMMYFUNCTION("""COMPUTED_VALUE"""),"Пушкин А.С. – «Зимняя дорога»")</f>
        <v>Пушкин А.С. – «Зимняя дорога»</v>
      </c>
      <c r="F13" s="1">
        <f>IFERROR(__xludf.DUMMYFUNCTION("""COMPUTED_VALUE"""),212.0)</f>
        <v>212</v>
      </c>
      <c r="G13" s="1" t="str">
        <f>IFERROR(__xludf.DUMMYFUNCTION("""COMPUTED_VALUE"""),"Лермонтов М.Ю. – «Валерик»")</f>
        <v>Лермонтов М.Ю. – «Валерик»</v>
      </c>
      <c r="H13" s="1">
        <f>IFERROR(__xludf.DUMMYFUNCTION("""COMPUTED_VALUE"""),312.0)</f>
        <v>312</v>
      </c>
      <c r="I13" s="1" t="str">
        <f>IFERROR(__xludf.DUMMYFUNCTION("""COMPUTED_VALUE"""),"Афера Чичикова")</f>
        <v>Афера Чичикова</v>
      </c>
      <c r="J13" s="1">
        <f>IFERROR(__xludf.DUMMYFUNCTION("""COMPUTED_VALUE"""),412.0)</f>
        <v>412</v>
      </c>
      <c r="K13" s="1" t="str">
        <f>IFERROR(__xludf.DUMMYFUNCTION("""COMPUTED_VALUE"""),"Ф.И. Тютчева – «К.Б. («Я встретил вас — и все былое…»)")</f>
        <v>Ф.И. Тютчева – «К.Б. («Я встретил вас — и все былое…»)</v>
      </c>
      <c r="L13" s="1">
        <f>IFERROR(__xludf.DUMMYFUNCTION("""COMPUTED_VALUE"""),512.0)</f>
        <v>512</v>
      </c>
      <c r="M13" s="1" t="str">
        <f>IFERROR(__xludf.DUMMYFUNCTION("""COMPUTED_VALUE"""),"Композиция в произведении «Война и мир»")</f>
        <v>Композиция в произведении «Война и мир»</v>
      </c>
      <c r="N13" s="1">
        <f>IFERROR(__xludf.DUMMYFUNCTION("""COMPUTED_VALUE"""),612.0)</f>
        <v>612</v>
      </c>
      <c r="O13" s="1" t="str">
        <f>IFERROR(__xludf.DUMMYFUNCTION("""COMPUTED_VALUE"""),"Бунин И.А. ""Чистый понедельник"": особенности произведения")</f>
        <v>Бунин И.А. "Чистый понедельник": особенности произведения</v>
      </c>
      <c r="P13" s="1">
        <f>IFERROR(__xludf.DUMMYFUNCTION("""COMPUTED_VALUE"""),712.0)</f>
        <v>712</v>
      </c>
      <c r="Q13" s="1" t="str">
        <f>IFERROR(__xludf.DUMMYFUNCTION("""COMPUTED_VALUE"""),"История создания ""Двенадцать""")</f>
        <v>История создания "Двенадцать"</v>
      </c>
      <c r="R13" s="1">
        <f>IFERROR(__xludf.DUMMYFUNCTION("""COMPUTED_VALUE"""),812.0)</f>
        <v>812</v>
      </c>
      <c r="S13" s="1" t="str">
        <f>IFERROR(__xludf.DUMMYFUNCTION("""COMPUTED_VALUE"""),"Проблематика ""На дне""")</f>
        <v>Проблематика "На дне"</v>
      </c>
      <c r="T13" s="1">
        <f>IFERROR(__xludf.DUMMYFUNCTION("""COMPUTED_VALUE"""),912.0)</f>
        <v>912</v>
      </c>
      <c r="U13" s="1" t="str">
        <f>IFERROR(__xludf.DUMMYFUNCTION("""COMPUTED_VALUE"""),"Смысл названия рассказа ""Судьба человека""")</f>
        <v>Смысл названия рассказа "Судьба человека"</v>
      </c>
      <c r="V13" s="1">
        <f>IFERROR(__xludf.DUMMYFUNCTION("""COMPUTED_VALUE"""),1012.0)</f>
        <v>1012</v>
      </c>
      <c r="W13" s="1" t="str">
        <f>IFERROR(__xludf.DUMMYFUNCTION("""COMPUTED_VALUE"""),"Темы, идеи ""Один день Ивана Денисовича""")</f>
        <v>Темы, идеи "Один день Ивана Денисовича"</v>
      </c>
      <c r="X13" s="1">
        <f>IFERROR(__xludf.DUMMYFUNCTION("""COMPUTED_VALUE"""),1112.0)</f>
        <v>1112</v>
      </c>
      <c r="Y13" s="1" t="str">
        <f>IFERROR(__xludf.DUMMYFUNCTION("""COMPUTED_VALUE"""),"Ф. Кафка. Рассказ «Превращение»")</f>
        <v>Ф. Кафка. Рассказ «Превращение»</v>
      </c>
      <c r="Z13" s="1">
        <f>IFERROR(__xludf.DUMMYFUNCTION("""COMPUTED_VALUE"""),1212.0)</f>
        <v>1212</v>
      </c>
    </row>
    <row r="14">
      <c r="A14" s="1" t="str">
        <f>IFERROR(__xludf.DUMMYFUNCTION("""COMPUTED_VALUE"""),"Модернизм")</f>
        <v>Модернизм</v>
      </c>
      <c r="B14" s="1">
        <f>IFERROR(__xludf.DUMMYFUNCTION("""COMPUTED_VALUE"""),13.0)</f>
        <v>13</v>
      </c>
      <c r="C14" s="1" t="str">
        <f>IFERROR(__xludf.DUMMYFUNCTION("""COMPUTED_VALUE"""),"Образ Ярославны")</f>
        <v>Образ Ярославны</v>
      </c>
      <c r="D14" s="1">
        <f>IFERROR(__xludf.DUMMYFUNCTION("""COMPUTED_VALUE"""),113.0)</f>
        <v>113</v>
      </c>
      <c r="E14" s="1" t="str">
        <f>IFERROR(__xludf.DUMMYFUNCTION("""COMPUTED_VALUE"""),"Пушкин А.С. – «Анчар»")</f>
        <v>Пушкин А.С. – «Анчар»</v>
      </c>
      <c r="F14" s="1">
        <f>IFERROR(__xludf.DUMMYFUNCTION("""COMPUTED_VALUE"""),213.0)</f>
        <v>213</v>
      </c>
      <c r="G14" s="1" t="str">
        <f>IFERROR(__xludf.DUMMYFUNCTION("""COMPUTED_VALUE"""),"Лермонтов М.Ю. – «Выхожу один я на дорогу»")</f>
        <v>Лермонтов М.Ю. – «Выхожу один я на дорогу»</v>
      </c>
      <c r="H14" s="1">
        <f>IFERROR(__xludf.DUMMYFUNCTION("""COMPUTED_VALUE"""),313.0)</f>
        <v>313</v>
      </c>
      <c r="I14" s="1" t="str">
        <f>IFERROR(__xludf.DUMMYFUNCTION("""COMPUTED_VALUE"""),"Жанровая специфика «Мертвые души»")</f>
        <v>Жанровая специфика «Мертвые души»</v>
      </c>
      <c r="J14" s="1">
        <f>IFERROR(__xludf.DUMMYFUNCTION("""COMPUTED_VALUE"""),413.0)</f>
        <v>413</v>
      </c>
      <c r="K14" s="1" t="str">
        <f>IFERROR(__xludf.DUMMYFUNCTION("""COMPUTED_VALUE"""),"Ф.И. Тютчева – «Природа — сфинкс. И тем она верней…»")</f>
        <v>Ф.И. Тютчева – «Природа — сфинкс. И тем она верней…»</v>
      </c>
      <c r="L14" s="1">
        <f>IFERROR(__xludf.DUMMYFUNCTION("""COMPUTED_VALUE"""),513.0)</f>
        <v>513</v>
      </c>
      <c r="M14" s="1" t="str">
        <f>IFERROR(__xludf.DUMMYFUNCTION("""COMPUTED_VALUE"""),"Классификация героев «Война и мир»")</f>
        <v>Классификация героев «Война и мир»</v>
      </c>
      <c r="N14" s="1">
        <f>IFERROR(__xludf.DUMMYFUNCTION("""COMPUTED_VALUE"""),613.0)</f>
        <v>613</v>
      </c>
      <c r="O14" s="1" t="str">
        <f>IFERROR(__xludf.DUMMYFUNCTION("""COMPUTED_VALUE"""),"Темы, идеи ""Чистый понедельник""")</f>
        <v>Темы, идеи "Чистый понедельник"</v>
      </c>
      <c r="P14" s="1">
        <f>IFERROR(__xludf.DUMMYFUNCTION("""COMPUTED_VALUE"""),713.0)</f>
        <v>713</v>
      </c>
      <c r="Q14" s="1" t="str">
        <f>IFERROR(__xludf.DUMMYFUNCTION("""COMPUTED_VALUE"""),"Конфликт ""Двенадцать""")</f>
        <v>Конфликт "Двенадцать"</v>
      </c>
      <c r="R14" s="1">
        <f>IFERROR(__xludf.DUMMYFUNCTION("""COMPUTED_VALUE"""),813.0)</f>
        <v>813</v>
      </c>
      <c r="S14" s="1" t="str">
        <f>IFERROR(__xludf.DUMMYFUNCTION("""COMPUTED_VALUE"""),"Сюжет и композиция ""На дне""")</f>
        <v>Сюжет и композиция "На дне"</v>
      </c>
      <c r="T14" s="1">
        <f>IFERROR(__xludf.DUMMYFUNCTION("""COMPUTED_VALUE"""),913.0)</f>
        <v>913</v>
      </c>
      <c r="U14" s="1" t="str">
        <f>IFERROR(__xludf.DUMMYFUNCTION("""COMPUTED_VALUE"""),"Композиция рассказа ""Судьба человека""")</f>
        <v>Композиция рассказа "Судьба человека"</v>
      </c>
      <c r="V14" s="1">
        <f>IFERROR(__xludf.DUMMYFUNCTION("""COMPUTED_VALUE"""),1013.0)</f>
        <v>1013</v>
      </c>
      <c r="W14" s="1" t="str">
        <f>IFERROR(__xludf.DUMMYFUNCTION("""COMPUTED_VALUE"""),"Образ Шухова")</f>
        <v>Образ Шухова</v>
      </c>
      <c r="X14" s="1">
        <f>IFERROR(__xludf.DUMMYFUNCTION("""COMPUTED_VALUE"""),1113.0)</f>
        <v>1113</v>
      </c>
      <c r="Y14" s="1" t="str">
        <f>IFERROR(__xludf.DUMMYFUNCTION("""COMPUTED_VALUE"""),"Х. Ли. Роман «Убить пересмешника»")</f>
        <v>Х. Ли. Роман «Убить пересмешника»</v>
      </c>
      <c r="Z14" s="1">
        <f>IFERROR(__xludf.DUMMYFUNCTION("""COMPUTED_VALUE"""),1213.0)</f>
        <v>1213</v>
      </c>
    </row>
    <row r="15">
      <c r="A15" s="1" t="str">
        <f>IFERROR(__xludf.DUMMYFUNCTION("""COMPUTED_VALUE"""),"Символизм")</f>
        <v>Символизм</v>
      </c>
      <c r="B15" s="1">
        <f>IFERROR(__xludf.DUMMYFUNCTION("""COMPUTED_VALUE"""),14.0)</f>
        <v>14</v>
      </c>
      <c r="C15" s="1" t="str">
        <f>IFERROR(__xludf.DUMMYFUNCTION("""COMPUTED_VALUE"""),"Идейное содержание – ""Слово о полку Игореве""")</f>
        <v>Идейное содержание – "Слово о полку Игореве"</v>
      </c>
      <c r="D15" s="1">
        <f>IFERROR(__xludf.DUMMYFUNCTION("""COMPUTED_VALUE"""),114.0)</f>
        <v>114</v>
      </c>
      <c r="E15" s="1" t="str">
        <f>IFERROR(__xludf.DUMMYFUNCTION("""COMPUTED_VALUE"""),"Пушкин А.С. – «На холмах Грузии лежит ночная мгла»")</f>
        <v>Пушкин А.С. – «На холмах Грузии лежит ночная мгла»</v>
      </c>
      <c r="F15" s="1">
        <f>IFERROR(__xludf.DUMMYFUNCTION("""COMPUTED_VALUE"""),214.0)</f>
        <v>214</v>
      </c>
      <c r="G15" s="1" t="str">
        <f>IFERROR(__xludf.DUMMYFUNCTION("""COMPUTED_VALUE"""),"Лермонтов М.Ю. – «И скучно
и грустно»")</f>
        <v>Лермонтов М.Ю. – «И скучно
и грустно»</v>
      </c>
      <c r="H15" s="1">
        <f>IFERROR(__xludf.DUMMYFUNCTION("""COMPUTED_VALUE"""),314.0)</f>
        <v>314</v>
      </c>
      <c r="I15" s="1" t="str">
        <f>IFERROR(__xludf.DUMMYFUNCTION("""COMPUTED_VALUE"""),"Лирические отступления «Мертвые души»")</f>
        <v>Лирические отступления «Мертвые души»</v>
      </c>
      <c r="J15" s="1">
        <f>IFERROR(__xludf.DUMMYFUNCTION("""COMPUTED_VALUE"""),414.0)</f>
        <v>414</v>
      </c>
      <c r="K15" s="1" t="str">
        <f>IFERROR(__xludf.DUMMYFUNCTION("""COMPUTED_VALUE"""),"Ф.И. Тютчева – «Весенняя гроза»")</f>
        <v>Ф.И. Тютчева – «Весенняя гроза»</v>
      </c>
      <c r="L15" s="1">
        <f>IFERROR(__xludf.DUMMYFUNCTION("""COMPUTED_VALUE"""),514.0)</f>
        <v>514</v>
      </c>
      <c r="M15" s="1" t="str">
        <f>IFERROR(__xludf.DUMMYFUNCTION("""COMPUTED_VALUE"""),"Виды героев «Война и мир»")</f>
        <v>Виды героев «Война и мир»</v>
      </c>
      <c r="N15" s="1">
        <f>IFERROR(__xludf.DUMMYFUNCTION("""COMPUTED_VALUE"""),614.0)</f>
        <v>614</v>
      </c>
      <c r="O15" s="1" t="str">
        <f>IFERROR(__xludf.DUMMYFUNCTION("""COMPUTED_VALUE"""),"Проблематика ""Чистый понедельник""")</f>
        <v>Проблематика "Чистый понедельник"</v>
      </c>
      <c r="P15" s="1">
        <f>IFERROR(__xludf.DUMMYFUNCTION("""COMPUTED_VALUE"""),714.0)</f>
        <v>714</v>
      </c>
      <c r="Q15" s="1" t="str">
        <f>IFERROR(__xludf.DUMMYFUNCTION("""COMPUTED_VALUE"""),"Композиция и сюжет ""Двенадцать""")</f>
        <v>Композиция и сюжет "Двенадцать"</v>
      </c>
      <c r="R15" s="1">
        <f>IFERROR(__xludf.DUMMYFUNCTION("""COMPUTED_VALUE"""),814.0)</f>
        <v>814</v>
      </c>
      <c r="S15" s="1" t="str">
        <f>IFERROR(__xludf.DUMMYFUNCTION("""COMPUTED_VALUE"""),"Конфликт ""На дне""")</f>
        <v>Конфликт "На дне"</v>
      </c>
      <c r="T15" s="1">
        <f>IFERROR(__xludf.DUMMYFUNCTION("""COMPUTED_VALUE"""),914.0)</f>
        <v>914</v>
      </c>
      <c r="U15" s="1" t="str">
        <f>IFERROR(__xludf.DUMMYFUNCTION("""COMPUTED_VALUE"""),"Сюжет рассказа ""Судьба человека""")</f>
        <v>Сюжет рассказа "Судьба человека"</v>
      </c>
      <c r="V15" s="1">
        <f>IFERROR(__xludf.DUMMYFUNCTION("""COMPUTED_VALUE"""),1014.0)</f>
        <v>1014</v>
      </c>
      <c r="W15" s="1" t="str">
        <f>IFERROR(__xludf.DUMMYFUNCTION("""COMPUTED_VALUE"""),"Роман Солженицына А.И. «Архипелаг ГУЛаг» (фрагменты)")</f>
        <v>Роман Солженицына А.И. «Архипелаг ГУЛаг» (фрагменты)</v>
      </c>
      <c r="X15" s="1">
        <f>IFERROR(__xludf.DUMMYFUNCTION("""COMPUTED_VALUE"""),1114.0)</f>
        <v>1114</v>
      </c>
      <c r="Y15" s="1" t="str">
        <f>IFERROR(__xludf.DUMMYFUNCTION("""COMPUTED_VALUE"""),"Г.Г. Маркес. Роман «Сто лет одиночества»")</f>
        <v>Г.Г. Маркес. Роман «Сто лет одиночества»</v>
      </c>
      <c r="Z15" s="1">
        <f>IFERROR(__xludf.DUMMYFUNCTION("""COMPUTED_VALUE"""),1214.0)</f>
        <v>1214</v>
      </c>
    </row>
    <row r="16">
      <c r="A16" s="1" t="str">
        <f>IFERROR(__xludf.DUMMYFUNCTION("""COMPUTED_VALUE"""),"Футуризм")</f>
        <v>Футуризм</v>
      </c>
      <c r="B16" s="1">
        <f>IFERROR(__xludf.DUMMYFUNCTION("""COMPUTED_VALUE"""),15.0)</f>
        <v>15</v>
      </c>
      <c r="C16" s="1" t="str">
        <f>IFERROR(__xludf.DUMMYFUNCTION("""COMPUTED_VALUE"""),"Проблемы – ""Слово о полку Игореве""")</f>
        <v>Проблемы – "Слово о полку Игореве"</v>
      </c>
      <c r="D16" s="1">
        <f>IFERROR(__xludf.DUMMYFUNCTION("""COMPUTED_VALUE"""),115.0)</f>
        <v>115</v>
      </c>
      <c r="E16" s="1" t="str">
        <f>IFERROR(__xludf.DUMMYFUNCTION("""COMPUTED_VALUE"""),"Пушкин А.С. – «Я вас любил: любовь еще быть может»")</f>
        <v>Пушкин А.С. – «Я вас любил: любовь еще быть может»</v>
      </c>
      <c r="F16" s="1">
        <f>IFERROR(__xludf.DUMMYFUNCTION("""COMPUTED_VALUE"""),215.0)</f>
        <v>215</v>
      </c>
      <c r="G16" s="1" t="str">
        <f>IFERROR(__xludf.DUMMYFUNCTION("""COMPUTED_VALUE"""),"Лермонтов М.Ю. – «Бородино»")</f>
        <v>Лермонтов М.Ю. – «Бородино»</v>
      </c>
      <c r="H16" s="1">
        <f>IFERROR(__xludf.DUMMYFUNCTION("""COMPUTED_VALUE"""),315.0)</f>
        <v>315</v>
      </c>
      <c r="I16" s="1" t="str">
        <f>IFERROR(__xludf.DUMMYFUNCTION("""COMPUTED_VALUE"""),"Мотив дороги «Мертвые души»")</f>
        <v>Мотив дороги «Мертвые души»</v>
      </c>
      <c r="J16" s="1">
        <f>IFERROR(__xludf.DUMMYFUNCTION("""COMPUTED_VALUE"""),415.0)</f>
        <v>415</v>
      </c>
      <c r="K16" s="1" t="str">
        <f>IFERROR(__xludf.DUMMYFUNCTION("""COMPUTED_VALUE"""),"Ф.И. Тютчева – «Ещё
 шумел весёлый день…»")</f>
        <v>Ф.И. Тютчева – «Ещё
 шумел весёлый день…»</v>
      </c>
      <c r="L16" s="1">
        <f>IFERROR(__xludf.DUMMYFUNCTION("""COMPUTED_VALUE"""),515.0)</f>
        <v>515</v>
      </c>
      <c r="M16" s="1" t="str">
        <f>IFERROR(__xludf.DUMMYFUNCTION("""COMPUTED_VALUE"""),"«Диалектика души»")</f>
        <v>«Диалектика души»</v>
      </c>
      <c r="N16" s="1">
        <f>IFERROR(__xludf.DUMMYFUNCTION("""COMPUTED_VALUE"""),615.0)</f>
        <v>615</v>
      </c>
      <c r="O16" s="1" t="str">
        <f>IFERROR(__xludf.DUMMYFUNCTION("""COMPUTED_VALUE"""),"О книге ""Темные аллеи""")</f>
        <v>О книге "Темные аллеи"</v>
      </c>
      <c r="P16" s="1">
        <f>IFERROR(__xludf.DUMMYFUNCTION("""COMPUTED_VALUE"""),715.0)</f>
        <v>715</v>
      </c>
      <c r="Q16" s="1" t="str">
        <f>IFERROR(__xludf.DUMMYFUNCTION("""COMPUTED_VALUE"""),"Символика названия и символы в поэме ""Двенадцать""")</f>
        <v>Символика названия и символы в поэме "Двенадцать"</v>
      </c>
      <c r="R16" s="1">
        <f>IFERROR(__xludf.DUMMYFUNCTION("""COMPUTED_VALUE"""),815.0)</f>
        <v>815</v>
      </c>
      <c r="S16" s="1" t="str">
        <f>IFERROR(__xludf.DUMMYFUNCTION("""COMPUTED_VALUE"""),"Система образов ""На дне""")</f>
        <v>Система образов "На дне"</v>
      </c>
      <c r="T16" s="1">
        <f>IFERROR(__xludf.DUMMYFUNCTION("""COMPUTED_VALUE"""),915.0)</f>
        <v>915</v>
      </c>
      <c r="U16" s="1" t="str">
        <f>IFERROR(__xludf.DUMMYFUNCTION("""COMPUTED_VALUE"""),"Символические образы в обрамлении рассказа ""Судьба человека""")</f>
        <v>Символические образы в обрамлении рассказа "Судьба человека"</v>
      </c>
      <c r="V16" s="1">
        <f>IFERROR(__xludf.DUMMYFUNCTION("""COMPUTED_VALUE"""),1015.0)</f>
        <v>1015</v>
      </c>
      <c r="W16" s="1" t="str">
        <f>IFERROR(__xludf.DUMMYFUNCTION("""COMPUTED_VALUE"""),"В.Т.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Пугачёва»")</f>
        <v>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</v>
      </c>
      <c r="X16" s="1">
        <f>IFERROR(__xludf.DUMMYFUNCTION("""COMPUTED_VALUE"""),1115.0)</f>
        <v>1115</v>
      </c>
      <c r="Y16" s="1" t="str">
        <f>IFERROR(__xludf.DUMMYFUNCTION("""COMPUTED_VALUE"""),"М. Метерлинк. Пьеса «Слепые»")</f>
        <v>М. Метерлинк. Пьеса «Слепые»</v>
      </c>
      <c r="Z16" s="1">
        <f>IFERROR(__xludf.DUMMYFUNCTION("""COMPUTED_VALUE"""),1215.0)</f>
        <v>1215</v>
      </c>
    </row>
    <row r="17">
      <c r="A17" s="1" t="str">
        <f>IFERROR(__xludf.DUMMYFUNCTION("""COMPUTED_VALUE"""),"Имажинизм")</f>
        <v>Имажинизм</v>
      </c>
      <c r="B17" s="1">
        <f>IFERROR(__xludf.DUMMYFUNCTION("""COMPUTED_VALUE"""),16.0)</f>
        <v>16</v>
      </c>
      <c r="C17" s="1" t="str">
        <f>IFERROR(__xludf.DUMMYFUNCTION("""COMPUTED_VALUE"""),"Темы – ""Слово о полку Игореве""")</f>
        <v>Темы – "Слово о полку Игореве"</v>
      </c>
      <c r="D17" s="1">
        <f>IFERROR(__xludf.DUMMYFUNCTION("""COMPUTED_VALUE"""),116.0)</f>
        <v>116</v>
      </c>
      <c r="E17" s="1" t="str">
        <f>IFERROR(__xludf.DUMMYFUNCTION("""COMPUTED_VALUE"""),"Пушкин А.С. – «Зимнее утро»")</f>
        <v>Пушкин А.С. – «Зимнее утро»</v>
      </c>
      <c r="F17" s="1">
        <f>IFERROR(__xludf.DUMMYFUNCTION("""COMPUTED_VALUE"""),216.0)</f>
        <v>216</v>
      </c>
      <c r="G17" s="1" t="str">
        <f>IFERROR(__xludf.DUMMYFUNCTION("""COMPUTED_VALUE"""),"Лермонтов М.Ю. – «Когда волнуется желтеющая нива…»")</f>
        <v>Лермонтов М.Ю. – «Когда волнуется желтеющая нива…»</v>
      </c>
      <c r="H17" s="1">
        <f>IFERROR(__xludf.DUMMYFUNCTION("""COMPUTED_VALUE"""),316.0)</f>
        <v>316</v>
      </c>
      <c r="I17" s="1" t="str">
        <f>IFERROR(__xludf.DUMMYFUNCTION("""COMPUTED_VALUE"""),"«Мертвые души»/«Живые души»")</f>
        <v>«Мертвые души»/«Живые души»</v>
      </c>
      <c r="J17" s="1">
        <f>IFERROR(__xludf.DUMMYFUNCTION("""COMPUTED_VALUE"""),416.0)</f>
        <v>416</v>
      </c>
      <c r="K17" s="1" t="str">
        <f>IFERROR(__xludf.DUMMYFUNCTION("""COMPUTED_VALUE"""),"Ф.И. Тютчева – «Чародейкою- зимою…»")</f>
        <v>Ф.И. Тютчева – «Чародейкою- зимою…»</v>
      </c>
      <c r="L17" s="1">
        <f>IFERROR(__xludf.DUMMYFUNCTION("""COMPUTED_VALUE"""),516.0)</f>
        <v>516</v>
      </c>
      <c r="M17" s="1" t="str">
        <f>IFERROR(__xludf.DUMMYFUNCTION("""COMPUTED_VALUE"""),"Средства характеристики персонажа «Война и мир»")</f>
        <v>Средства характеристики персонажа «Война и мир»</v>
      </c>
      <c r="N17" s="1">
        <f>IFERROR(__xludf.DUMMYFUNCTION("""COMPUTED_VALUE"""),616.0)</f>
        <v>616</v>
      </c>
      <c r="O17" s="1" t="str">
        <f>IFERROR(__xludf.DUMMYFUNCTION("""COMPUTED_VALUE"""),"Любовь в произведении ""Чистый понедельник""")</f>
        <v>Любовь в произведении "Чистый понедельник"</v>
      </c>
      <c r="P17" s="1">
        <f>IFERROR(__xludf.DUMMYFUNCTION("""COMPUTED_VALUE"""),716.0)</f>
        <v>716</v>
      </c>
      <c r="Q17" s="1" t="str">
        <f>IFERROR(__xludf.DUMMYFUNCTION("""COMPUTED_VALUE"""),"Система образов ""Двенадцать""")</f>
        <v>Система образов "Двенадцать"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IFERROR(__xludf.DUMMYFUNCTION("""COMPUTED_VALUE"""),"Тема рассказа ""Судьба человека""")</f>
        <v>Тема рассказа "Судьба человека"</v>
      </c>
      <c r="V17" s="1">
        <f>IFERROR(__xludf.DUMMYFUNCTION("""COMPUTED_VALUE"""),1016.0)</f>
        <v>1016</v>
      </c>
      <c r="W17" s="1" t="str">
        <f>IFERROR(__xludf.DUMMYFUNCTION("""COMPUTED_VALUE"""),"Абрамов Ф.А. ")</f>
        <v>Абрамов Ф.А. </v>
      </c>
      <c r="X17" s="1">
        <f>IFERROR(__xludf.DUMMYFUNCTION("""COMPUTED_VALUE"""),1116.0)</f>
        <v>1116</v>
      </c>
      <c r="Y17" s="1" t="str">
        <f>IFERROR(__xludf.DUMMYFUNCTION("""COMPUTED_VALUE"""),"Г. Мопассан. Роман «Милый друг»")</f>
        <v>Г. Мопассан. Роман «Милый друг»</v>
      </c>
      <c r="Z17" s="1">
        <f>IFERROR(__xludf.DUMMYFUNCTION("""COMPUTED_VALUE"""),1216.0)</f>
        <v>1216</v>
      </c>
    </row>
    <row r="18">
      <c r="A18" s="1" t="str">
        <f>IFERROR(__xludf.DUMMYFUNCTION("""COMPUTED_VALUE"""),"Литературные роды и жанры")</f>
        <v>Литературные роды и жанры</v>
      </c>
      <c r="B18" s="1">
        <f>IFERROR(__xludf.DUMMYFUNCTION("""COMPUTED_VALUE"""),17.0)</f>
        <v>17</v>
      </c>
      <c r="C18" s="1" t="str">
        <f>IFERROR(__xludf.DUMMYFUNCTION("""COMPUTED_VALUE"""),"Значение произведения – ""Слово о полку Игореве""")</f>
        <v>Значение произведения – "Слово о полку Игореве"</v>
      </c>
      <c r="D18" s="1">
        <f>IFERROR(__xludf.DUMMYFUNCTION("""COMPUTED_VALUE"""),117.0)</f>
        <v>117</v>
      </c>
      <c r="E18" s="1" t="str">
        <f>IFERROR(__xludf.DUMMYFUNCTION("""COMPUTED_VALUE"""),"Пушкин А.С. – «Бесы»")</f>
        <v>Пушкин А.С. – «Бесы»</v>
      </c>
      <c r="F18" s="1">
        <f>IFERROR(__xludf.DUMMYFUNCTION("""COMPUTED_VALUE"""),217.0)</f>
        <v>217</v>
      </c>
      <c r="G18" s="1" t="str">
        <f>IFERROR(__xludf.DUMMYFUNCTION("""COMPUTED_VALUE"""),"Лермонтов М.Ю. – «Дума»")</f>
        <v>Лермонтов М.Ю. – «Дума»</v>
      </c>
      <c r="H18" s="1">
        <f>IFERROR(__xludf.DUMMYFUNCTION("""COMPUTED_VALUE"""),317.0)</f>
        <v>317</v>
      </c>
      <c r="I18" s="1" t="str">
        <f>IFERROR(__xludf.DUMMYFUNCTION("""COMPUTED_VALUE"""),"Павел Иванович Чичиков")</f>
        <v>Павел Иванович Чичиков</v>
      </c>
      <c r="J18" s="1">
        <f>IFERROR(__xludf.DUMMYFUNCTION("""COMPUTED_VALUE"""),417.0)</f>
        <v>417</v>
      </c>
      <c r="K18" s="1" t="str">
        <f>IFERROR(__xludf.DUMMYFUNCTION("""COMPUTED_VALUE"""),"А.А. Фет — биография")</f>
        <v>А.А. Фет — биография</v>
      </c>
      <c r="L18" s="1">
        <f>IFERROR(__xludf.DUMMYFUNCTION("""COMPUTED_VALUE"""),517.0)</f>
        <v>517</v>
      </c>
      <c r="M18" s="1" t="str">
        <f>IFERROR(__xludf.DUMMYFUNCTION("""COMPUTED_VALUE"""),"О «Войне и мире»")</f>
        <v>О «Войне и мире»</v>
      </c>
      <c r="N18" s="1">
        <f>IFERROR(__xludf.DUMMYFUNCTION("""COMPUTED_VALUE"""),617.0)</f>
        <v>617</v>
      </c>
      <c r="O18" s="1" t="str">
        <f>IFERROR(__xludf.DUMMYFUNCTION("""COMPUTED_VALUE"""),"Основные образы")</f>
        <v>Основные образы</v>
      </c>
      <c r="P18" s="1">
        <f>IFERROR(__xludf.DUMMYFUNCTION("""COMPUTED_VALUE"""),717.0)</f>
        <v>717</v>
      </c>
      <c r="Q18" s="1" t="str">
        <f>IFERROR(__xludf.DUMMYFUNCTION("""COMPUTED_VALUE"""),"Биография Маяковского В.В.")</f>
        <v>Биография Маяковского В.В.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IFERROR(__xludf.DUMMYFUNCTION("""COMPUTED_VALUE"""),"Эпизод ""В церкви"" ""Судьба человека""")</f>
        <v>Эпизод "В церкви" "Судьба человека"</v>
      </c>
      <c r="V18" s="1">
        <f>IFERROR(__xludf.DUMMYFUNCTION("""COMPUTED_VALUE"""),1017.0)</f>
        <v>1017</v>
      </c>
      <c r="W18" s="1" t="str">
        <f>IFERROR(__xludf.DUMMYFUNCTION("""COMPUTED_VALUE"""),"Айтматов Ч.Т. ")</f>
        <v>Айтматов Ч.Т. </v>
      </c>
      <c r="X18" s="1">
        <f>IFERROR(__xludf.DUMMYFUNCTION("""COMPUTED_VALUE"""),1117.0)</f>
        <v>1117</v>
      </c>
      <c r="Y18" s="1" t="str">
        <f>IFERROR(__xludf.DUMMYFUNCTION("""COMPUTED_VALUE"""),"У.С. Моэм. Роман «Театр»")</f>
        <v>У.С. Моэм. Роман «Театр»</v>
      </c>
      <c r="Z18" s="1">
        <f>IFERROR(__xludf.DUMMYFUNCTION("""COMPUTED_VALUE"""),1217.0)</f>
        <v>1217</v>
      </c>
    </row>
    <row r="19">
      <c r="A19" s="1" t="str">
        <f>IFERROR(__xludf.DUMMYFUNCTION("""COMPUTED_VALUE"""),"Эпос")</f>
        <v>Эпос</v>
      </c>
      <c r="B19" s="1">
        <f>IFERROR(__xludf.DUMMYFUNCTION("""COMPUTED_VALUE"""),18.0)</f>
        <v>18</v>
      </c>
      <c r="C19" s="1" t="str">
        <f>IFERROR(__xludf.DUMMYFUNCTION("""COMPUTED_VALUE""")," ""Творчество Ломоносова и Державина""")</f>
        <v> "Творчество Ломоносова и Державина"</v>
      </c>
      <c r="D19" s="1">
        <f>IFERROR(__xludf.DUMMYFUNCTION("""COMPUTED_VALUE"""),118.0)</f>
        <v>118</v>
      </c>
      <c r="E19" s="1" t="str">
        <f>IFERROR(__xludf.DUMMYFUNCTION("""COMPUTED_VALUE"""),"Пушкин А.С. – «Разговор книгопродавца с поэтом»")</f>
        <v>Пушкин А.С. – «Разговор книгопродавца с поэтом»</v>
      </c>
      <c r="F19" s="1">
        <f>IFERROR(__xludf.DUMMYFUNCTION("""COMPUTED_VALUE"""),218.0)</f>
        <v>218</v>
      </c>
      <c r="G19" s="1" t="str">
        <f>IFERROR(__xludf.DUMMYFUNCTION("""COMPUTED_VALUE"""),"Лермонтов М.Ю. – «Поэт» («Отделкой золотой блистает мой
кинжал…»)")</f>
        <v>Лермонтов М.Ю. – «Поэт» («Отделкой золотой блистает мой
кинжал…»)</v>
      </c>
      <c r="H19" s="1">
        <f>IFERROR(__xludf.DUMMYFUNCTION("""COMPUTED_VALUE"""),318.0)</f>
        <v>318</v>
      </c>
      <c r="I19" s="1" t="str">
        <f>IFERROR(__xludf.DUMMYFUNCTION("""COMPUTED_VALUE"""),"Манилов")</f>
        <v>Манилов</v>
      </c>
      <c r="J19" s="1">
        <f>IFERROR(__xludf.DUMMYFUNCTION("""COMPUTED_VALUE"""),418.0)</f>
        <v>418</v>
      </c>
      <c r="K19" s="1" t="str">
        <f>IFERROR(__xludf.DUMMYFUNCTION("""COMPUTED_VALUE"""),"А.А. Фет – «Вечер»")</f>
        <v>А.А. Фет – «Вечер»</v>
      </c>
      <c r="L19" s="1">
        <f>IFERROR(__xludf.DUMMYFUNCTION("""COMPUTED_VALUE"""),518.0)</f>
        <v>518</v>
      </c>
      <c r="M19" s="1" t="str">
        <f>IFERROR(__xludf.DUMMYFUNCTION("""COMPUTED_VALUE"""),"Война и семья «Война и мир»")</f>
        <v>Война и семья «Война и мир»</v>
      </c>
      <c r="N19" s="1">
        <f>IFERROR(__xludf.DUMMYFUNCTION("""COMPUTED_VALUE"""),618.0)</f>
        <v>618</v>
      </c>
      <c r="O19" s="1" t="str">
        <f>IFERROR(__xludf.DUMMYFUNCTION("""COMPUTED_VALUE"""),"«Танька»: краткие сведения")</f>
        <v>«Танька»: краткие сведения</v>
      </c>
      <c r="P19" s="1">
        <f>IFERROR(__xludf.DUMMYFUNCTION("""COMPUTED_VALUE"""),718.0)</f>
        <v>718</v>
      </c>
      <c r="Q19" s="1" t="str">
        <f>IFERROR(__xludf.DUMMYFUNCTION("""COMPUTED_VALUE"""),"Маяковский В.В. ""Облако в штанах"": особенности произведения")</f>
        <v>Маяковский В.В. "Облако в штанах": особенности произведения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IFERROR(__xludf.DUMMYFUNCTION("""COMPUTED_VALUE"""),"Характер Соколова")</f>
        <v>Характер Соколова</v>
      </c>
      <c r="V19" s="1">
        <f>IFERROR(__xludf.DUMMYFUNCTION("""COMPUTED_VALUE"""),1018.0)</f>
        <v>1018</v>
      </c>
      <c r="W19" s="1" t="str">
        <f>IFERROR(__xludf.DUMMYFUNCTION("""COMPUTED_VALUE"""),"Астафьев В.П.")</f>
        <v>Астафьев В.П.</v>
      </c>
      <c r="X19" s="1">
        <f>IFERROR(__xludf.DUMMYFUNCTION("""COMPUTED_VALUE"""),1118.0)</f>
        <v>1118</v>
      </c>
      <c r="Y19" s="1" t="str">
        <f>IFERROR(__xludf.DUMMYFUNCTION("""COMPUTED_VALUE"""),"Д. Оруэлл. Роман «1984»")</f>
        <v>Д. Оруэлл. Роман «1984»</v>
      </c>
      <c r="Z19" s="1">
        <f>IFERROR(__xludf.DUMMYFUNCTION("""COMPUTED_VALUE"""),1218.0)</f>
        <v>1218</v>
      </c>
    </row>
    <row r="20">
      <c r="A20" s="1" t="str">
        <f>IFERROR(__xludf.DUMMYFUNCTION("""COMPUTED_VALUE"""),"Лирика")</f>
        <v>Лирика</v>
      </c>
      <c r="B20" s="1">
        <f>IFERROR(__xludf.DUMMYFUNCTION("""COMPUTED_VALUE"""),19.0)</f>
        <v>19</v>
      </c>
      <c r="C20" s="1" t="str">
        <f>IFERROR(__xludf.DUMMYFUNCTION("""COMPUTED_VALUE"""),"М.В. Ломоносов")</f>
        <v>М.В. Ломоносов</v>
      </c>
      <c r="D20" s="1">
        <f>IFERROR(__xludf.DUMMYFUNCTION("""COMPUTED_VALUE"""),119.0)</f>
        <v>119</v>
      </c>
      <c r="E20" s="1" t="str">
        <f>IFERROR(__xludf.DUMMYFUNCTION("""COMPUTED_VALUE"""),"Пушкин А.С. – «Туча»")</f>
        <v>Пушкин А.С. – «Туча»</v>
      </c>
      <c r="F20" s="1">
        <f>IFERROR(__xludf.DUMMYFUNCTION("""COMPUTED_VALUE"""),219.0)</f>
        <v>219</v>
      </c>
      <c r="G20" s="1" t="str">
        <f>IFERROR(__xludf.DUMMYFUNCTION("""COMPUTED_VALUE"""),"Лермонтов М.Ю. – «Три пальмы»")</f>
        <v>Лермонтов М.Ю. – «Три пальмы»</v>
      </c>
      <c r="H20" s="1">
        <f>IFERROR(__xludf.DUMMYFUNCTION("""COMPUTED_VALUE"""),319.0)</f>
        <v>319</v>
      </c>
      <c r="I20" s="1" t="str">
        <f>IFERROR(__xludf.DUMMYFUNCTION("""COMPUTED_VALUE"""),"Коробочка")</f>
        <v>Коробочка</v>
      </c>
      <c r="J20" s="1">
        <f>IFERROR(__xludf.DUMMYFUNCTION("""COMPUTED_VALUE"""),419.0)</f>
        <v>419</v>
      </c>
      <c r="K20" s="1" t="str">
        <f>IFERROR(__xludf.DUMMYFUNCTION("""COMPUTED_VALUE"""),"А.А. Фет – «Учись
 у них – у дуба, у берёзы…»")</f>
        <v>А.А. Фет – «Учись
 у них – у дуба, у берёзы…»</v>
      </c>
      <c r="L20" s="1">
        <f>IFERROR(__xludf.DUMMYFUNCTION("""COMPUTED_VALUE"""),519.0)</f>
        <v>519</v>
      </c>
      <c r="M20" s="1" t="str">
        <f>IFERROR(__xludf.DUMMYFUNCTION("""COMPUTED_VALUE"""),"Любовный треугольник «Война и мир»")</f>
        <v>Любовный треугольник «Война и мир»</v>
      </c>
      <c r="N20" s="1">
        <f>IFERROR(__xludf.DUMMYFUNCTION("""COMPUTED_VALUE"""),619.0)</f>
        <v>619</v>
      </c>
      <c r="O20" s="1" t="str">
        <f>IFERROR(__xludf.DUMMYFUNCTION("""COMPUTED_VALUE"""),"Сюжет «Танька»")</f>
        <v>Сюжет «Танька»</v>
      </c>
      <c r="P20" s="1">
        <f>IFERROR(__xludf.DUMMYFUNCTION("""COMPUTED_VALUE"""),719.0)</f>
        <v>719</v>
      </c>
      <c r="Q20" s="1" t="str">
        <f>IFERROR(__xludf.DUMMYFUNCTION("""COMPUTED_VALUE"""),"Темы, идеи ""Облако в штанах""")</f>
        <v>Темы, идеи "Облако в штанах"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IFERROR(__xludf.DUMMYFUNCTION("""COMPUTED_VALUE"""),"Роль встречи с Ванюшей")</f>
        <v>Роль встречи с Ванюшей</v>
      </c>
      <c r="V20" s="1">
        <f>IFERROR(__xludf.DUMMYFUNCTION("""COMPUTED_VALUE"""),1019.0)</f>
        <v>1019</v>
      </c>
      <c r="W20" s="1" t="str">
        <f>IFERROR(__xludf.DUMMYFUNCTION("""COMPUTED_VALUE"""),"Белов В.И. ")</f>
        <v>Белов В.И. </v>
      </c>
      <c r="X20" s="1">
        <f>IFERROR(__xludf.DUMMYFUNCTION("""COMPUTED_VALUE"""),1119.0)</f>
        <v>1119</v>
      </c>
      <c r="Y20" s="1" t="str">
        <f>IFERROR(__xludf.DUMMYFUNCTION("""COMPUTED_VALUE"""),"Э.М. Ремарк. Романы «На западном фронте без перемен», «Три товарища»")</f>
        <v>Э.М. Ремарк. Романы «На западном фронте без перемен», «Три товарища»</v>
      </c>
      <c r="Z20" s="1">
        <f>IFERROR(__xludf.DUMMYFUNCTION("""COMPUTED_VALUE"""),1219.0)</f>
        <v>1219</v>
      </c>
    </row>
    <row r="21">
      <c r="A21" s="1" t="str">
        <f>IFERROR(__xludf.DUMMYFUNCTION("""COMPUTED_VALUE"""),"Драма")</f>
        <v>Драма</v>
      </c>
      <c r="B21" s="1">
        <f>IFERROR(__xludf.DUMMYFUNCTION("""COMPUTED_VALUE"""),20.0)</f>
        <v>20</v>
      </c>
      <c r="C21" s="1" t="str">
        <f>IFERROR(__xludf.DUMMYFUNCTION("""COMPUTED_VALUE"""),"Значение поэзии для Ломоносова")</f>
        <v>Значение поэзии для Ломоносова</v>
      </c>
      <c r="D21" s="1">
        <f>IFERROR(__xludf.DUMMYFUNCTION("""COMPUTED_VALUE"""),120.0)</f>
        <v>120</v>
      </c>
      <c r="E21" s="1" t="str">
        <f>IFERROR(__xludf.DUMMYFUNCTION("""COMPUTED_VALUE"""),"Пушкин А.С. – «Я памятник себе воздвиг нерукотворный…»")</f>
        <v>Пушкин А.С. – «Я памятник себе воздвиг нерукотворный…»</v>
      </c>
      <c r="F21" s="1">
        <f>IFERROR(__xludf.DUMMYFUNCTION("""COMPUTED_VALUE"""),220.0)</f>
        <v>220</v>
      </c>
      <c r="G21" s="1" t="str">
        <f>IFERROR(__xludf.DUMMYFUNCTION("""COMPUTED_VALUE"""),"Лермонтов М.Ю. – «Молитва»
(«В минуту жизни трудную…»)")</f>
        <v>Лермонтов М.Ю. – «Молитва»
(«В минуту жизни трудную…»)</v>
      </c>
      <c r="H21" s="1">
        <f>IFERROR(__xludf.DUMMYFUNCTION("""COMPUTED_VALUE"""),320.0)</f>
        <v>320</v>
      </c>
      <c r="I21" s="1" t="str">
        <f>IFERROR(__xludf.DUMMYFUNCTION("""COMPUTED_VALUE"""),"Ноздрёв")</f>
        <v>Ноздрёв</v>
      </c>
      <c r="J21" s="1">
        <f>IFERROR(__xludf.DUMMYFUNCTION("""COMPUTED_VALUE"""),420.0)</f>
        <v>420</v>
      </c>
      <c r="K21" s="1" t="str">
        <f>IFERROR(__xludf.DUMMYFUNCTION("""COMPUTED_VALUE"""),"А.А. Фет – «Ласточки пропали…»")</f>
        <v>А.А. Фет – «Ласточки пропали…»</v>
      </c>
      <c r="L21" s="1">
        <f>IFERROR(__xludf.DUMMYFUNCTION("""COMPUTED_VALUE"""),520.0)</f>
        <v>520</v>
      </c>
      <c r="M21" s="1" t="str">
        <f>IFERROR(__xludf.DUMMYFUNCTION("""COMPUTED_VALUE"""),"Система образов «Война и мир»")</f>
        <v>Система образов «Война и мир»</v>
      </c>
      <c r="N21" s="1">
        <f>IFERROR(__xludf.DUMMYFUNCTION("""COMPUTED_VALUE"""),620.0)</f>
        <v>620</v>
      </c>
      <c r="O21" s="1" t="str">
        <f>IFERROR(__xludf.DUMMYFUNCTION("""COMPUTED_VALUE"""),"Особая манера Бунина")</f>
        <v>Особая манера Бунина</v>
      </c>
      <c r="P21" s="1">
        <f>IFERROR(__xludf.DUMMYFUNCTION("""COMPUTED_VALUE"""),720.0)</f>
        <v>720</v>
      </c>
      <c r="Q21" s="1" t="str">
        <f>IFERROR(__xludf.DUMMYFUNCTION("""COMPUTED_VALUE"""),"История создания ""Облако в штанах""")</f>
        <v>История создания "Облако в штанах"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IFERROR(__xludf.DUMMYFUNCTION("""COMPUTED_VALUE"""),"Проблемы и темы ""Судьба человека""")</f>
        <v>Проблемы и темы "Судьба человека"</v>
      </c>
      <c r="V21" s="1">
        <f>IFERROR(__xludf.DUMMYFUNCTION("""COMPUTED_VALUE"""),1020.0)</f>
        <v>1020</v>
      </c>
      <c r="W21" s="1" t="str">
        <f>IFERROR(__xludf.DUMMYFUNCTION("""COMPUTED_VALUE"""),"Битов А.Г. ")</f>
        <v>Битов А.Г. </v>
      </c>
      <c r="X21" s="1">
        <f>IFERROR(__xludf.DUMMYFUNCTION("""COMPUTED_VALUE"""),1120.0)</f>
        <v>1120</v>
      </c>
      <c r="Y21" s="1" t="str">
        <f>IFERROR(__xludf.DUMMYFUNCTION("""COMPUTED_VALUE"""),"Д. Сэлинджер. Роман «Над пропастью во ржи»")</f>
        <v>Д. Сэлинджер. Роман «Над пропастью во ржи»</v>
      </c>
      <c r="Z21" s="1">
        <f>IFERROR(__xludf.DUMMYFUNCTION("""COMPUTED_VALUE"""),1220.0)</f>
        <v>1220</v>
      </c>
    </row>
    <row r="22">
      <c r="A22" s="1" t="str">
        <f>IFERROR(__xludf.DUMMYFUNCTION("""COMPUTED_VALUE"""),"Лиро-эпос")</f>
        <v>Лиро-эпос</v>
      </c>
      <c r="B22" s="1">
        <f>IFERROR(__xludf.DUMMYFUNCTION("""COMPUTED_VALUE"""),21.0)</f>
        <v>21</v>
      </c>
      <c r="C22" s="1" t="str">
        <f>IFERROR(__xludf.DUMMYFUNCTION("""COMPUTED_VALUE"""),"Основные темы поэзии Ломоносова")</f>
        <v>Основные темы поэзии Ломоносова</v>
      </c>
      <c r="D22" s="1">
        <f>IFERROR(__xludf.DUMMYFUNCTION("""COMPUTED_VALUE"""),121.0)</f>
        <v>121</v>
      </c>
      <c r="E22" s="1" t="str">
        <f>IFERROR(__xludf.DUMMYFUNCTION("""COMPUTED_VALUE"""),"Пушкин А.С. – «Погасло дневное светило…»")</f>
        <v>Пушкин А.С. – «Погасло дневное светило…»</v>
      </c>
      <c r="F22" s="1">
        <f>IFERROR(__xludf.DUMMYFUNCTION("""COMPUTED_VALUE"""),221.0)</f>
        <v>221</v>
      </c>
      <c r="G22" s="1" t="str">
        <f>IFERROR(__xludf.DUMMYFUNCTION("""COMPUTED_VALUE"""),"Лермонтов М.Ю. – «Нет, не тебя так пылко
я люблю…»")</f>
        <v>Лермонтов М.Ю. – «Нет, не тебя так пылко
я люблю…»</v>
      </c>
      <c r="H22" s="1">
        <f>IFERROR(__xludf.DUMMYFUNCTION("""COMPUTED_VALUE"""),321.0)</f>
        <v>321</v>
      </c>
      <c r="I22" s="1" t="str">
        <f>IFERROR(__xludf.DUMMYFUNCTION("""COMPUTED_VALUE"""),"Собакевич")</f>
        <v>Собакевич</v>
      </c>
      <c r="J22" s="1">
        <f>IFERROR(__xludf.DUMMYFUNCTION("""COMPUTED_VALUE"""),421.0)</f>
        <v>421</v>
      </c>
      <c r="K22" s="1" t="str">
        <f>IFERROR(__xludf.DUMMYFUNCTION("""COMPUTED_VALUE"""),"А.А. Фет – «Ещё весны душистой нега…»")</f>
        <v>А.А. Фет – «Ещё весны душистой нега…»</v>
      </c>
      <c r="L22" s="1">
        <f>IFERROR(__xludf.DUMMYFUNCTION("""COMPUTED_VALUE"""),521.0)</f>
        <v>521</v>
      </c>
      <c r="M22" s="1" t="str">
        <f>IFERROR(__xludf.DUMMYFUNCTION("""COMPUTED_VALUE"""),"Андрей Болконский")</f>
        <v>Андрей Болконский</v>
      </c>
      <c r="N22" s="1">
        <f>IFERROR(__xludf.DUMMYFUNCTION("""COMPUTED_VALUE"""),621.0)</f>
        <v>621</v>
      </c>
      <c r="O22" s="1" t="str">
        <f>IFERROR(__xludf.DUMMYFUNCTION("""COMPUTED_VALUE"""),"Два мира в произведении «Танька»")</f>
        <v>Два мира в произведении «Танька»</v>
      </c>
      <c r="P22" s="1">
        <f>IFERROR(__xludf.DUMMYFUNCTION("""COMPUTED_VALUE"""),721.0)</f>
        <v>721</v>
      </c>
      <c r="Q22" s="1" t="str">
        <f>IFERROR(__xludf.DUMMYFUNCTION("""COMPUTED_VALUE"""),"Смысл названия ""Облако в штанах""")</f>
        <v>Смысл названия "Облако в штанах"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IFERROR(__xludf.DUMMYFUNCTION("""COMPUTED_VALUE"""),"Новаторство рассказа ""Судьба человека""")</f>
        <v>Новаторство рассказа "Судьба человека"</v>
      </c>
      <c r="V22" s="1">
        <f>IFERROR(__xludf.DUMMYFUNCTION("""COMPUTED_VALUE"""),1021.0)</f>
        <v>1021</v>
      </c>
      <c r="W22" s="1" t="str">
        <f>IFERROR(__xludf.DUMMYFUNCTION("""COMPUTED_VALUE"""),"Быков В.В. ")</f>
        <v>Быков В.В. </v>
      </c>
      <c r="X22" s="1">
        <f>IFERROR(__xludf.DUMMYFUNCTION("""COMPUTED_VALUE"""),1121.0)</f>
        <v>1121</v>
      </c>
      <c r="Y22" s="1" t="str">
        <f>IFERROR(__xludf.DUMMYFUNCTION("""COMPUTED_VALUE"""),"У. Старк. Повести: «Чудаки и зануды», «Пусть
танцуют белые медведи»")</f>
        <v>У. Старк. Повести: «Чудаки и зануды», «Пусть
танцуют белые медведи»</v>
      </c>
      <c r="Z22" s="1">
        <f>IFERROR(__xludf.DUMMYFUNCTION("""COMPUTED_VALUE"""),1221.0)</f>
        <v>1221</v>
      </c>
    </row>
    <row r="23">
      <c r="A23" s="1" t="str">
        <f>IFERROR(__xludf.DUMMYFUNCTION("""COMPUTED_VALUE"""),"Трагическое и комическое")</f>
        <v>Трагическое и комическое</v>
      </c>
      <c r="B23" s="1">
        <f>IFERROR(__xludf.DUMMYFUNCTION("""COMPUTED_VALUE"""),22.0)</f>
        <v>22</v>
      </c>
      <c r="C23" s="1" t="str">
        <f>IFERROR(__xludf.DUMMYFUNCTION("""COMPUTED_VALUE"""),"Своеобразие оды классицизма")</f>
        <v>Своеобразие оды классицизма</v>
      </c>
      <c r="D23" s="1">
        <f>IFERROR(__xludf.DUMMYFUNCTION("""COMPUTED_VALUE"""),122.0)</f>
        <v>122</v>
      </c>
      <c r="E23" s="1" t="str">
        <f>IFERROR(__xludf.DUMMYFUNCTION("""COMPUTED_VALUE"""),"Пушкин А.С. – «Свободы сеятель пустынный…»")</f>
        <v>Пушкин А.С. – «Свободы сеятель пустынный…»</v>
      </c>
      <c r="F23" s="1">
        <f>IFERROR(__xludf.DUMMYFUNCTION("""COMPUTED_VALUE"""),222.0)</f>
        <v>222</v>
      </c>
      <c r="G23" s="1" t="str">
        <f>IFERROR(__xludf.DUMMYFUNCTION("""COMPUTED_VALUE"""),"Лермонтов М.Ю. – «Тучи»")</f>
        <v>Лермонтов М.Ю. – «Тучи»</v>
      </c>
      <c r="H23" s="1">
        <f>IFERROR(__xludf.DUMMYFUNCTION("""COMPUTED_VALUE"""),322.0)</f>
        <v>322</v>
      </c>
      <c r="I23" s="1" t="str">
        <f>IFERROR(__xludf.DUMMYFUNCTION("""COMPUTED_VALUE"""),"Плюшкин")</f>
        <v>Плюшкин</v>
      </c>
      <c r="J23" s="1">
        <f>IFERROR(__xludf.DUMMYFUNCTION("""COMPUTED_VALUE"""),422.0)</f>
        <v>422</v>
      </c>
      <c r="K23" s="1" t="str">
        <f>IFERROR(__xludf.DUMMYFUNCTION("""COMPUTED_VALUE"""),"А.А. Фет – «На заре ты её не буди…»")</f>
        <v>А.А. Фет – «На заре ты её не буди…»</v>
      </c>
      <c r="L23" s="1">
        <f>IFERROR(__xludf.DUMMYFUNCTION("""COMPUTED_VALUE"""),522.0)</f>
        <v>522</v>
      </c>
      <c r="M23" s="1" t="str">
        <f>IFERROR(__xludf.DUMMYFUNCTION("""COMPUTED_VALUE"""),"Пьер Безухов")</f>
        <v>Пьер Безухов</v>
      </c>
      <c r="N23" s="1">
        <f>IFERROR(__xludf.DUMMYFUNCTION("""COMPUTED_VALUE"""),622.0)</f>
        <v>622</v>
      </c>
      <c r="O23" s="1" t="str">
        <f>IFERROR(__xludf.DUMMYFUNCTION("""COMPUTED_VALUE"""),"Танька")</f>
        <v>Танька</v>
      </c>
      <c r="P23" s="1">
        <f>IFERROR(__xludf.DUMMYFUNCTION("""COMPUTED_VALUE"""),722.0)</f>
        <v>722</v>
      </c>
      <c r="Q23" s="1" t="str">
        <f>IFERROR(__xludf.DUMMYFUNCTION("""COMPUTED_VALUE"""),"Сущность композиции (по определению Маяковского) ""Облако в штанах""")</f>
        <v>Сущность композиции (по определению Маяковского) "Облако в штанах"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IFERROR(__xludf.DUMMYFUNCTION("""COMPUTED_VALUE"""),"Язык рассказа ""Судьба человека""")</f>
        <v>Язык рассказа "Судьба человека"</v>
      </c>
      <c r="V23" s="1">
        <f>IFERROR(__xludf.DUMMYFUNCTION("""COMPUTED_VALUE"""),1022.0)</f>
        <v>1022</v>
      </c>
      <c r="W23" s="1" t="str">
        <f>IFERROR(__xludf.DUMMYFUNCTION("""COMPUTED_VALUE"""),"Гроссман В.С. ")</f>
        <v>Гроссман В.С. </v>
      </c>
      <c r="X23" s="1">
        <f>IFERROR(__xludf.DUMMYFUNCTION("""COMPUTED_VALUE"""),1122.0)</f>
        <v>1122</v>
      </c>
      <c r="Y23" s="1" t="str">
        <f>IFERROR(__xludf.DUMMYFUNCTION("""COMPUTED_VALUE"""),"Ф. Стендаль. Роман «Пармская обитель»")</f>
        <v>Ф. Стендаль. Роман «Пармская обитель»</v>
      </c>
      <c r="Z23" s="1">
        <f>IFERROR(__xludf.DUMMYFUNCTION("""COMPUTED_VALUE"""),1222.0)</f>
        <v>1222</v>
      </c>
    </row>
    <row r="24">
      <c r="A24" s="1" t="str">
        <f>IFERROR(__xludf.DUMMYFUNCTION("""COMPUTED_VALUE"""),"Авторская позиция")</f>
        <v>Авторская позиция</v>
      </c>
      <c r="B24" s="1">
        <f>IFERROR(__xludf.DUMMYFUNCTION("""COMPUTED_VALUE"""),23.0)</f>
        <v>23</v>
      </c>
      <c r="C24" s="1" t="str">
        <f>IFERROR(__xludf.DUMMYFUNCTION("""COMPUTED_VALUE"""),"«Ода на день восшествия…»")</f>
        <v>«Ода на день восшествия…»</v>
      </c>
      <c r="D24" s="1">
        <f>IFERROR(__xludf.DUMMYFUNCTION("""COMPUTED_VALUE"""),123.0)</f>
        <v>123</v>
      </c>
      <c r="E24" s="1" t="str">
        <f>IFERROR(__xludf.DUMMYFUNCTION("""COMPUTED_VALUE"""),"Пушкин А.С. – «Подражания Корану»")</f>
        <v>Пушкин А.С. – «Подражания Корану»</v>
      </c>
      <c r="F24" s="1">
        <f>IFERROR(__xludf.DUMMYFUNCTION("""COMPUTED_VALUE"""),223.0)</f>
        <v>223</v>
      </c>
      <c r="G24" s="1" t="str">
        <f>IFERROR(__xludf.DUMMYFUNCTION("""COMPUTED_VALUE"""),"Лермонтов М.Ю. – «Листок»")</f>
        <v>Лермонтов М.Ю. – «Листок»</v>
      </c>
      <c r="H24" s="1">
        <f>IFERROR(__xludf.DUMMYFUNCTION("""COMPUTED_VALUE"""),323.0)</f>
        <v>323</v>
      </c>
      <c r="I24" s="1" t="str">
        <f>IFERROR(__xludf.DUMMYFUNCTION("""COMPUTED_VALUE"""),"Живые души «Мертвые души»")</f>
        <v>Живые души «Мертвые души»</v>
      </c>
      <c r="J24" s="1">
        <f>IFERROR(__xludf.DUMMYFUNCTION("""COMPUTED_VALUE"""),423.0)</f>
        <v>423</v>
      </c>
      <c r="K24" s="1" t="str">
        <f>IFERROR(__xludf.DUMMYFUNCTION("""COMPUTED_VALUE"""),"А.А. Фет – «Заря прощается с землею»")</f>
        <v>А.А. Фет – «Заря прощается с землею»</v>
      </c>
      <c r="L24" s="1">
        <f>IFERROR(__xludf.DUMMYFUNCTION("""COMPUTED_VALUE"""),523.0)</f>
        <v>523</v>
      </c>
      <c r="M24" s="1" t="str">
        <f>IFERROR(__xludf.DUMMYFUNCTION("""COMPUTED_VALUE"""),"Наташа Ростова")</f>
        <v>Наташа Ростова</v>
      </c>
      <c r="N24" s="1">
        <f>IFERROR(__xludf.DUMMYFUNCTION("""COMPUTED_VALUE"""),623.0)</f>
        <v>623</v>
      </c>
      <c r="O24" s="1" t="str">
        <f>IFERROR(__xludf.DUMMYFUNCTION("""COMPUTED_VALUE"""),"Павел Антоныч")</f>
        <v>Павел Антоныч</v>
      </c>
      <c r="P24" s="1">
        <f>IFERROR(__xludf.DUMMYFUNCTION("""COMPUTED_VALUE"""),723.0)</f>
        <v>723</v>
      </c>
      <c r="Q24" s="1" t="str">
        <f>IFERROR(__xludf.DUMMYFUNCTION("""COMPUTED_VALUE"""),"Композиция и сюжет ""Облако в штанах""")</f>
        <v>Композиция и сюжет "Облако в штанах"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IFERROR(__xludf.DUMMYFUNCTION("""COMPUTED_VALUE"""),"М.А. Булгаков — «Мастер и Маргарита»")</f>
        <v>М.А. Булгаков — «Мастер и Маргарита»</v>
      </c>
      <c r="V24" s="1">
        <f>IFERROR(__xludf.DUMMYFUNCTION("""COMPUTED_VALUE"""),1023.0)</f>
        <v>1023</v>
      </c>
      <c r="W24" s="1" t="str">
        <f>IFERROR(__xludf.DUMMYFUNCTION("""COMPUTED_VALUE"""),"Довлатов С.Д. ")</f>
        <v>Довлатов С.Д. </v>
      </c>
      <c r="X24" s="1">
        <f>IFERROR(__xludf.DUMMYFUNCTION("""COMPUTED_VALUE"""),1123.0)</f>
        <v>1123</v>
      </c>
      <c r="Y24" s="1" t="str">
        <f>IFERROR(__xludf.DUMMYFUNCTION("""COMPUTED_VALUE"""),"Г. Уэллс. Роман «Машина времени»")</f>
        <v>Г. Уэллс. Роман «Машина времени»</v>
      </c>
      <c r="Z24" s="1">
        <f>IFERROR(__xludf.DUMMYFUNCTION("""COMPUTED_VALUE"""),1223.0)</f>
        <v>1223</v>
      </c>
    </row>
    <row r="25">
      <c r="A25" s="1" t="str">
        <f>IFERROR(__xludf.DUMMYFUNCTION("""COMPUTED_VALUE"""),"Тема")</f>
        <v>Тема</v>
      </c>
      <c r="B25" s="1">
        <f>IFERROR(__xludf.DUMMYFUNCTION("""COMPUTED_VALUE"""),24.0)</f>
        <v>24</v>
      </c>
      <c r="C25" s="1" t="str">
        <f>IFERROR(__xludf.DUMMYFUNCTION("""COMPUTED_VALUE"""),"Три периода творчества Державина")</f>
        <v>Три периода творчества Державина</v>
      </c>
      <c r="D25" s="1">
        <f>IFERROR(__xludf.DUMMYFUNCTION("""COMPUTED_VALUE"""),124.0)</f>
        <v>124</v>
      </c>
      <c r="E25" s="1" t="str">
        <f>IFERROR(__xludf.DUMMYFUNCTION("""COMPUTED_VALUE"""),"Пушкин А.С. – «Элегия»")</f>
        <v>Пушкин А.С. – «Элегия»</v>
      </c>
      <c r="F25" s="1">
        <f>IFERROR(__xludf.DUMMYFUNCTION("""COMPUTED_VALUE"""),224.0)</f>
        <v>224</v>
      </c>
      <c r="G25" s="1" t="str">
        <f>IFERROR(__xludf.DUMMYFUNCTION("""COMPUTED_VALUE"""),"Лермонтов М.Ю. – «Ангел»")</f>
        <v>Лермонтов М.Ю. – «Ангел»</v>
      </c>
      <c r="H25" s="1">
        <f>IFERROR(__xludf.DUMMYFUNCTION("""COMPUTED_VALUE"""),324.0)</f>
        <v>324</v>
      </c>
      <c r="I25" s="1" t="str">
        <f>IFERROR(__xludf.DUMMYFUNCTION("""COMPUTED_VALUE"""),"Необычный конфликт «Мертвые души»")</f>
        <v>Необычный конфликт «Мертвые души»</v>
      </c>
      <c r="J25" s="1">
        <f>IFERROR(__xludf.DUMMYFUNCTION("""COMPUTED_VALUE"""),424.0)</f>
        <v>424</v>
      </c>
      <c r="K25" s="1" t="str">
        <f>IFERROR(__xludf.DUMMYFUNCTION("""COMPUTED_VALUE"""),"А.А. Фет – «Одним толчком согнать ладью живую»")</f>
        <v>А.А. Фет – «Одним толчком согнать ладью живую»</v>
      </c>
      <c r="L25" s="1">
        <f>IFERROR(__xludf.DUMMYFUNCTION("""COMPUTED_VALUE"""),524.0)</f>
        <v>524</v>
      </c>
      <c r="M25" s="1" t="str">
        <f>IFERROR(__xludf.DUMMYFUNCTION("""COMPUTED_VALUE"""),"Кутузов")</f>
        <v>Кутузов</v>
      </c>
      <c r="N25" s="1">
        <f>IFERROR(__xludf.DUMMYFUNCTION("""COMPUTED_VALUE"""),624.0)</f>
        <v>624</v>
      </c>
      <c r="O25" s="1" t="str">
        <f>IFERROR(__xludf.DUMMYFUNCTION("""COMPUTED_VALUE"""),"«Косцы»: краткие сведения")</f>
        <v>«Косцы»: краткие сведения</v>
      </c>
      <c r="P25" s="1">
        <f>IFERROR(__xludf.DUMMYFUNCTION("""COMPUTED_VALUE"""),724.0)</f>
        <v>724</v>
      </c>
      <c r="Q25" s="1" t="str">
        <f>IFERROR(__xludf.DUMMYFUNCTION("""COMPUTED_VALUE"""),"Образ лирического героя ""Облако в штанах""")</f>
        <v>Образ лирического героя "Облако в штанах"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IFERROR(__xludf.DUMMYFUNCTION("""COMPUTED_VALUE"""),"Особенности произведения «Мастер и Маргарита»")</f>
        <v>Особенности произведения «Мастер и Маргарита»</v>
      </c>
      <c r="V25" s="1">
        <f>IFERROR(__xludf.DUMMYFUNCTION("""COMPUTED_VALUE"""),1024.0)</f>
        <v>1024</v>
      </c>
      <c r="W25" s="1" t="str">
        <f>IFERROR(__xludf.DUMMYFUNCTION("""COMPUTED_VALUE"""),"Кондратьев В.Л. ")</f>
        <v>Кондратьев В.Л. </v>
      </c>
      <c r="X25" s="1">
        <f>IFERROR(__xludf.DUMMYFUNCTION("""COMPUTED_VALUE"""),1124.0)</f>
        <v>1124</v>
      </c>
      <c r="Y25" s="1" t="str">
        <f>IFERROR(__xludf.DUMMYFUNCTION("""COMPUTED_VALUE"""),"Г. Флобер. Роман «Мадам Бовари»")</f>
        <v>Г. Флобер. Роман «Мадам Бовари»</v>
      </c>
      <c r="Z25" s="1">
        <f>IFERROR(__xludf.DUMMYFUNCTION("""COMPUTED_VALUE"""),1224.0)</f>
        <v>1224</v>
      </c>
    </row>
    <row r="26">
      <c r="A26" s="1" t="str">
        <f>IFERROR(__xludf.DUMMYFUNCTION("""COMPUTED_VALUE"""),"Идея")</f>
        <v>Идея</v>
      </c>
      <c r="B26" s="1">
        <f>IFERROR(__xludf.DUMMYFUNCTION("""COMPUTED_VALUE"""),25.0)</f>
        <v>25</v>
      </c>
      <c r="C26" s="1" t="str">
        <f>IFERROR(__xludf.DUMMYFUNCTION("""COMPUTED_VALUE"""),"«Властителям и судьям»")</f>
        <v>«Властителям и судьям»</v>
      </c>
      <c r="D26" s="1">
        <f>IFERROR(__xludf.DUMMYFUNCTION("""COMPUTED_VALUE"""),125.0)</f>
        <v>125</v>
      </c>
      <c r="E26" s="1" t="str">
        <f>IFERROR(__xludf.DUMMYFUNCTION("""COMPUTED_VALUE"""),"Пушкин А.С. – «...Вновь я посетил…»")</f>
        <v>Пушкин А.С. – «...Вновь я посетил…»</v>
      </c>
      <c r="F26" s="1">
        <f>IFERROR(__xludf.DUMMYFUNCTION("""COMPUTED_VALUE"""),225.0)</f>
        <v>225</v>
      </c>
      <c r="G26" s="1" t="str">
        <f>IFERROR(__xludf.DUMMYFUNCTION("""COMPUTED_VALUE"""),"Лермонтов М.Ю. – «Песня про царя
Ивана Васильевича, молодого опричника
и удалого купца Калашникова»")</f>
        <v>Лермонтов М.Ю. – «Песня про царя
Ивана Васильевича, молодого опричника
и удалого купца Калашникова»</v>
      </c>
      <c r="H26" s="1">
        <f>IFERROR(__xludf.DUMMYFUNCTION("""COMPUTED_VALUE"""),325.0)</f>
        <v>325</v>
      </c>
      <c r="I26" s="1" t="str">
        <f>IFERROR(__xludf.DUMMYFUNCTION("""COMPUTED_VALUE"""),"Как решить конфликт? «Мертвые души»")</f>
        <v>Как решить конфликт? «Мертвые души»</v>
      </c>
      <c r="J26" s="1">
        <f>IFERROR(__xludf.DUMMYFUNCTION("""COMPUTED_VALUE"""),425.0)</f>
        <v>425</v>
      </c>
      <c r="K26" s="1" t="str">
        <f>IFERROR(__xludf.DUMMYFUNCTION("""COMPUTED_VALUE"""),"А.А. Фет – «Это утро, радость эта…»")</f>
        <v>А.А. Фет – «Это утро, радость эта…»</v>
      </c>
      <c r="L26" s="1">
        <f>IFERROR(__xludf.DUMMYFUNCTION("""COMPUTED_VALUE"""),525.0)</f>
        <v>525</v>
      </c>
      <c r="M26" s="1" t="str">
        <f>IFERROR(__xludf.DUMMYFUNCTION("""COMPUTED_VALUE"""),"Наполеон")</f>
        <v>Наполеон</v>
      </c>
      <c r="N26" s="1">
        <f>IFERROR(__xludf.DUMMYFUNCTION("""COMPUTED_VALUE"""),625.0)</f>
        <v>625</v>
      </c>
      <c r="O26" s="1" t="str">
        <f>IFERROR(__xludf.DUMMYFUNCTION("""COMPUTED_VALUE"""),"Сюжет «Косцы»")</f>
        <v>Сюжет «Косцы»</v>
      </c>
      <c r="P26" s="1">
        <f>IFERROR(__xludf.DUMMYFUNCTION("""COMPUTED_VALUE"""),725.0)</f>
        <v>725</v>
      </c>
      <c r="Q26" s="1" t="str">
        <f>IFERROR(__xludf.DUMMYFUNCTION("""COMPUTED_VALUE"""),"Футуризм (Манифест футуризма, Ф. Маринетти)")</f>
        <v>Футуризм (Манифест футуризма, Ф. Маринетти)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IFERROR(__xludf.DUMMYFUNCTION("""COMPUTED_VALUE"""),"Темы «Мастер и Маргарита»")</f>
        <v>Темы «Мастер и Маргарита»</v>
      </c>
      <c r="V26" s="1">
        <f>IFERROR(__xludf.DUMMYFUNCTION("""COMPUTED_VALUE"""),1025.0)</f>
        <v>1025</v>
      </c>
      <c r="W26" s="1" t="str">
        <f>IFERROR(__xludf.DUMMYFUNCTION("""COMPUTED_VALUE"""),"Некрасов В.П.")</f>
        <v>Некрасов В.П.</v>
      </c>
      <c r="X26" s="1">
        <f>IFERROR(__xludf.DUMMYFUNCTION("""COMPUTED_VALUE"""),1125.0)</f>
        <v>1125</v>
      </c>
      <c r="Y26" s="1" t="str">
        <f>IFERROR(__xludf.DUMMYFUNCTION("""COMPUTED_VALUE"""),"О. Хаксли. Роман «О дивный новый мир»")</f>
        <v>О. Хаксли. Роман «О дивный новый мир»</v>
      </c>
      <c r="Z26" s="1">
        <f>IFERROR(__xludf.DUMMYFUNCTION("""COMPUTED_VALUE"""),1225.0)</f>
        <v>1225</v>
      </c>
    </row>
    <row r="27">
      <c r="A27" s="1" t="str">
        <f>IFERROR(__xludf.DUMMYFUNCTION("""COMPUTED_VALUE"""),"Проблематика")</f>
        <v>Проблематика</v>
      </c>
      <c r="B27" s="1">
        <f>IFERROR(__xludf.DUMMYFUNCTION("""COMPUTED_VALUE"""),26.0)</f>
        <v>26</v>
      </c>
      <c r="C27" s="1" t="str">
        <f>IFERROR(__xludf.DUMMYFUNCTION("""COMPUTED_VALUE"""),"«Памятник»")</f>
        <v>«Памятник»</v>
      </c>
      <c r="D27" s="1">
        <f>IFERROR(__xludf.DUMMYFUNCTION("""COMPUTED_VALUE"""),126.0)</f>
        <v>126</v>
      </c>
      <c r="E27" s="1" t="str">
        <f>IFERROR(__xludf.DUMMYFUNCTION("""COMPUTED_VALUE"""),"Пушкин А.С. – «Не пой, красавица, при мне…»")</f>
        <v>Пушкин А.С. – «Не пой, красавица, при мне…»</v>
      </c>
      <c r="F27" s="1">
        <f>IFERROR(__xludf.DUMMYFUNCTION("""COMPUTED_VALUE"""),226.0)</f>
        <v>226</v>
      </c>
      <c r="G27" s="1" t="str">
        <f>IFERROR(__xludf.DUMMYFUNCTION("""COMPUTED_VALUE"""),"Особенности произведения «Песня про царя
Ивана Васильевича, молодого опричника
и удалого купца Калашникова»")</f>
        <v>Особенности произведения «Песня про царя
Ивана Васильевича, молодого опричника
и удалого купца Калашникова»</v>
      </c>
      <c r="H27" s="1">
        <f>IFERROR(__xludf.DUMMYFUNCTION("""COMPUTED_VALUE"""),326.0)</f>
        <v>326</v>
      </c>
      <c r="I27" s="1" t="str">
        <f>IFERROR(__xludf.DUMMYFUNCTION("""COMPUTED_VALUE"""),"«Повесть о капитане Копейкине»")</f>
        <v>«Повесть о капитане Копейкине»</v>
      </c>
      <c r="J27" s="1">
        <f>IFERROR(__xludf.DUMMYFUNCTION("""COMPUTED_VALUE"""),426.0)</f>
        <v>426</v>
      </c>
      <c r="K27" s="1" t="str">
        <f>IFERROR(__xludf.DUMMYFUNCTION("""COMPUTED_VALUE"""),"А.А. Фет – «Шепот, робкое дыханье…»")</f>
        <v>А.А. Фет – «Шепот, робкое дыханье…»</v>
      </c>
      <c r="L27" s="1">
        <f>IFERROR(__xludf.DUMMYFUNCTION("""COMPUTED_VALUE"""),526.0)</f>
        <v>526</v>
      </c>
      <c r="M27" s="1" t="str">
        <f>IFERROR(__xludf.DUMMYFUNCTION("""COMPUTED_VALUE"""),"Николай Ростов")</f>
        <v>Николай Ростов</v>
      </c>
      <c r="N27" s="1">
        <f>IFERROR(__xludf.DUMMYFUNCTION("""COMPUTED_VALUE"""),626.0)</f>
        <v>626</v>
      </c>
      <c r="O27" s="1" t="str">
        <f>IFERROR(__xludf.DUMMYFUNCTION("""COMPUTED_VALUE"""),"Песня/Образ косцов «Косцы»")</f>
        <v>Песня/Образ косцов «Косцы»</v>
      </c>
      <c r="P27" s="1">
        <f>IFERROR(__xludf.DUMMYFUNCTION("""COMPUTED_VALUE"""),727.0)</f>
        <v>727</v>
      </c>
      <c r="Q27" s="1" t="str">
        <f>IFERROR(__xludf.DUMMYFUNCTION("""COMPUTED_VALUE"""),"Тоническая система стихосложения")</f>
        <v>Тоническая система стихосложения</v>
      </c>
      <c r="R27" s="1">
        <f>IFERROR(__xludf.DUMMYFUNCTION("""COMPUTED_VALUE"""),826.0)</f>
        <v>826</v>
      </c>
      <c r="S27" s="1"/>
      <c r="T27" s="1"/>
      <c r="U27" s="1" t="str">
        <f>IFERROR(__xludf.DUMMYFUNCTION("""COMPUTED_VALUE"""),"История создания «Мастер и Маргарита»")</f>
        <v>История создания «Мастер и Маргарита»</v>
      </c>
      <c r="V27" s="1">
        <f>IFERROR(__xludf.DUMMYFUNCTION("""COMPUTED_VALUE"""),1026.0)</f>
        <v>1026</v>
      </c>
      <c r="W27" s="1" t="str">
        <f>IFERROR(__xludf.DUMMYFUNCTION("""COMPUTED_VALUE"""),"Носов Е.И.")</f>
        <v>Носов Е.И.</v>
      </c>
      <c r="X27" s="1">
        <f>IFERROR(__xludf.DUMMYFUNCTION("""COMPUTED_VALUE"""),1126.0)</f>
        <v>1126</v>
      </c>
      <c r="Y27" s="1" t="str">
        <f>IFERROR(__xludf.DUMMYFUNCTION("""COMPUTED_VALUE"""),"Э. Хемингуэй. Повесть «Старик и море», роман
 «Прощай, оружие»")</f>
        <v>Э. Хемингуэй. Повесть «Старик и море», роман
 «Прощай, оружие»</v>
      </c>
      <c r="Z27" s="1">
        <f>IFERROR(__xludf.DUMMYFUNCTION("""COMPUTED_VALUE"""),1226.0)</f>
        <v>1226</v>
      </c>
    </row>
    <row r="28">
      <c r="A28" s="1" t="str">
        <f>IFERROR(__xludf.DUMMYFUNCTION("""COMPUTED_VALUE"""),"Сюжет")</f>
        <v>Сюжет</v>
      </c>
      <c r="B28" s="1">
        <f>IFERROR(__xludf.DUMMYFUNCTION("""COMPUTED_VALUE"""),27.0)</f>
        <v>27</v>
      </c>
      <c r="C28" s="1" t="str">
        <f>IFERROR(__xludf.DUMMYFUNCTION("""COMPUTED_VALUE""")," ""Фонвизин Д.И. «Недоросль»""")</f>
        <v> "Фонвизин Д.И. «Недоросль»"</v>
      </c>
      <c r="D28" s="1">
        <f>IFERROR(__xludf.DUMMYFUNCTION("""COMPUTED_VALUE"""),127.0)</f>
        <v>127</v>
      </c>
      <c r="E28" s="1" t="str">
        <f>IFERROR(__xludf.DUMMYFUNCTION("""COMPUTED_VALUE"""),"Пушкин А.С. – «Вакхическая песня»")</f>
        <v>Пушкин А.С. – «Вакхическая песня»</v>
      </c>
      <c r="F28" s="1">
        <f>IFERROR(__xludf.DUMMYFUNCTION("""COMPUTED_VALUE"""),227.0)</f>
        <v>227</v>
      </c>
      <c r="G28" s="1" t="str">
        <f>IFERROR(__xludf.DUMMYFUNCTION("""COMPUTED_VALUE"""),"Темы «Песня про царя
Ивана Васильевича, молодого опричника
и удалого купца Калашникова»")</f>
        <v>Темы «Песня про царя
Ивана Васильевича, молодого опричника
и удалого купца Калашникова»</v>
      </c>
      <c r="H28" s="1">
        <f>IFERROR(__xludf.DUMMYFUNCTION("""COMPUTED_VALUE"""),327.0)</f>
        <v>327</v>
      </c>
      <c r="I28" s="1" t="str">
        <f>IFERROR(__xludf.DUMMYFUNCTION("""COMPUTED_VALUE""")," Островский А.Н. – «Гроза»")</f>
        <v> Островский А.Н. – «Гроза»</v>
      </c>
      <c r="J28" s="1">
        <f>IFERROR(__xludf.DUMMYFUNCTION("""COMPUTED_VALUE"""),427.0)</f>
        <v>427</v>
      </c>
      <c r="K28" s="1" t="str">
        <f>IFERROR(__xludf.DUMMYFUNCTION("""COMPUTED_VALUE"""),"А.А. Фет – «Сияла ночь. Луной был полон сад. Лежали…»")</f>
        <v>А.А. Фет – «Сияла ночь. Луной был полон сад. Лежали…»</v>
      </c>
      <c r="L28" s="1">
        <f>IFERROR(__xludf.DUMMYFUNCTION("""COMPUTED_VALUE"""),527.0)</f>
        <v>527</v>
      </c>
      <c r="M28" s="1" t="str">
        <f>IFERROR(__xludf.DUMMYFUNCTION("""COMPUTED_VALUE"""),"Марья Болконская")</f>
        <v>Марья Болконская</v>
      </c>
      <c r="N28" s="1">
        <f>IFERROR(__xludf.DUMMYFUNCTION("""COMPUTED_VALUE"""),627.0)</f>
        <v>627</v>
      </c>
      <c r="O28" s="1" t="str">
        <f>IFERROR(__xludf.DUMMYFUNCTION("""COMPUTED_VALUE"""),"Главная мысль «Косцы»")</f>
        <v>Главная мысль «Косцы»</v>
      </c>
      <c r="P28" s="1">
        <f>IFERROR(__xludf.DUMMYFUNCTION("""COMPUTED_VALUE"""),728.0)</f>
        <v>728</v>
      </c>
      <c r="Q28" s="1" t="str">
        <f>IFERROR(__xludf.DUMMYFUNCTION("""COMPUTED_VALUE"""),"Маяковский В.В. ""А вы могли бы?""")</f>
        <v>Маяковский В.В. "А вы могли бы?"</v>
      </c>
      <c r="R28" s="1">
        <f>IFERROR(__xludf.DUMMYFUNCTION("""COMPUTED_VALUE"""),827.0)</f>
        <v>827</v>
      </c>
      <c r="S28" s="1"/>
      <c r="T28" s="1"/>
      <c r="U28" s="1" t="str">
        <f>IFERROR(__xludf.DUMMYFUNCTION("""COMPUTED_VALUE"""),"Идея «Мастер и Маргарита»")</f>
        <v>Идея «Мастер и Маргарита»</v>
      </c>
      <c r="V28" s="1">
        <f>IFERROR(__xludf.DUMMYFUNCTION("""COMPUTED_VALUE"""),1027.0)</f>
        <v>1027</v>
      </c>
      <c r="W28" s="1" t="str">
        <f>IFERROR(__xludf.DUMMYFUNCTION("""COMPUTED_VALUE"""),"Распутин В.Г.")</f>
        <v>Распутин В.Г.</v>
      </c>
      <c r="X28" s="1">
        <f>IFERROR(__xludf.DUMMYFUNCTION("""COMPUTED_VALUE"""),1127.0)</f>
        <v>1127</v>
      </c>
      <c r="Y28" s="1" t="str">
        <f>IFERROR(__xludf.DUMMYFUNCTION("""COMPUTED_VALUE"""),"А. Франк. Книга «Дневник Анны Франк»")</f>
        <v>А. Франк. Книга «Дневник Анны Франк»</v>
      </c>
      <c r="Z28" s="1">
        <f>IFERROR(__xludf.DUMMYFUNCTION("""COMPUTED_VALUE"""),1227.0)</f>
        <v>1227</v>
      </c>
    </row>
    <row r="29">
      <c r="A29" s="1" t="str">
        <f>IFERROR(__xludf.DUMMYFUNCTION("""COMPUTED_VALUE"""),"Фабула")</f>
        <v>Фабула</v>
      </c>
      <c r="B29" s="1">
        <f>IFERROR(__xludf.DUMMYFUNCTION("""COMPUTED_VALUE"""),28.0)</f>
        <v>28</v>
      </c>
      <c r="C29" s="1" t="str">
        <f>IFERROR(__xludf.DUMMYFUNCTION("""COMPUTED_VALUE"""),"Особенности произведения Фонвизина Д.И. «Недоросль»")</f>
        <v>Особенности произведения Фонвизина Д.И. «Недоросль»</v>
      </c>
      <c r="D29" s="1">
        <f>IFERROR(__xludf.DUMMYFUNCTION("""COMPUTED_VALUE"""),128.0)</f>
        <v>128</v>
      </c>
      <c r="E29" s="1" t="str">
        <f>IFERROR(__xludf.DUMMYFUNCTION("""COMPUTED_VALUE"""),"Пушкин А.С. — «Цыганы»")</f>
        <v>Пушкин А.С. — «Цыганы»</v>
      </c>
      <c r="F29" s="1">
        <f>IFERROR(__xludf.DUMMYFUNCTION("""COMPUTED_VALUE"""),228.0)</f>
        <v>228</v>
      </c>
      <c r="G29" s="1" t="str">
        <f>IFERROR(__xludf.DUMMYFUNCTION("""COMPUTED_VALUE"""),"Идеи «Песня про царя
Ивана Васильевича, молодого опричника
и удалого купца Калашникова»")</f>
        <v>Идеи «Песня про царя
Ивана Васильевича, молодого опричника
и удалого купца Калашникова»</v>
      </c>
      <c r="H29" s="1">
        <f>IFERROR(__xludf.DUMMYFUNCTION("""COMPUTED_VALUE"""),328.0)</f>
        <v>328</v>
      </c>
      <c r="I29" s="1" t="str">
        <f>IFERROR(__xludf.DUMMYFUNCTION("""COMPUTED_VALUE"""),"Конфликты «Гроза»")</f>
        <v>Конфликты «Гроза»</v>
      </c>
      <c r="J29" s="1">
        <f>IFERROR(__xludf.DUMMYFUNCTION("""COMPUTED_VALUE"""),428.0)</f>
        <v>428</v>
      </c>
      <c r="K29" s="1" t="str">
        <f>IFERROR(__xludf.DUMMYFUNCTION("""COMPUTED_VALUE"""),"А.А. Фет – «Еще майская ночь»")</f>
        <v>А.А. Фет – «Еще майская ночь»</v>
      </c>
      <c r="L29" s="1">
        <f>IFERROR(__xludf.DUMMYFUNCTION("""COMPUTED_VALUE"""),528.0)</f>
        <v>528</v>
      </c>
      <c r="M29" s="1" t="str">
        <f>IFERROR(__xludf.DUMMYFUNCTION("""COMPUTED_VALUE"""),"Федор Долохов")</f>
        <v>Федор Долохов</v>
      </c>
      <c r="N29" s="1">
        <f>IFERROR(__xludf.DUMMYFUNCTION("""COMPUTED_VALUE"""),628.0)</f>
        <v>628</v>
      </c>
      <c r="O29" s="1" t="str">
        <f>IFERROR(__xludf.DUMMYFUNCTION("""COMPUTED_VALUE"""),"«Лапти»: краткие сведения")</f>
        <v>«Лапти»: краткие сведения</v>
      </c>
      <c r="P29" s="1">
        <f>IFERROR(__xludf.DUMMYFUNCTION("""COMPUTED_VALUE"""),729.0)</f>
        <v>729</v>
      </c>
      <c r="Q29" s="1" t="str">
        <f>IFERROR(__xludf.DUMMYFUNCTION("""COMPUTED_VALUE"""),"Маяковский В.В. ""Послушайте""")</f>
        <v>Маяковский В.В. "Послушайте"</v>
      </c>
      <c r="R29" s="1">
        <f>IFERROR(__xludf.DUMMYFUNCTION("""COMPUTED_VALUE"""),828.0)</f>
        <v>828</v>
      </c>
      <c r="S29" s="1"/>
      <c r="T29" s="1"/>
      <c r="U29" s="1" t="str">
        <f>IFERROR(__xludf.DUMMYFUNCTION("""COMPUTED_VALUE"""),"Композиция «Мастер и Маргарита»")</f>
        <v>Композиция «Мастер и Маргарита»</v>
      </c>
      <c r="V29" s="1">
        <f>IFERROR(__xludf.DUMMYFUNCTION("""COMPUTED_VALUE"""),1028.0)</f>
        <v>1028</v>
      </c>
      <c r="W29" s="1" t="str">
        <f>IFERROR(__xludf.DUMMYFUNCTION("""COMPUTED_VALUE"""),"Тендряков В.Ф. ")</f>
        <v>Тендряков В.Ф. </v>
      </c>
      <c r="X29" s="1">
        <f>IFERROR(__xludf.DUMMYFUNCTION("""COMPUTED_VALUE"""),1128.0)</f>
        <v>1128</v>
      </c>
      <c r="Y29" s="1" t="str">
        <f>IFERROR(__xludf.DUMMYFUNCTION("""COMPUTED_VALUE"""),"Б. Шоу. Пьеса «Пигмалион»")</f>
        <v>Б. Шоу. Пьеса «Пигмалион»</v>
      </c>
      <c r="Z29" s="1">
        <f>IFERROR(__xludf.DUMMYFUNCTION("""COMPUTED_VALUE"""),1228.0)</f>
        <v>1228</v>
      </c>
    </row>
    <row r="30">
      <c r="A30" s="1" t="str">
        <f>IFERROR(__xludf.DUMMYFUNCTION("""COMPUTED_VALUE"""),"Композиция")</f>
        <v>Композиция</v>
      </c>
      <c r="B30" s="1">
        <f>IFERROR(__xludf.DUMMYFUNCTION("""COMPUTED_VALUE"""),29.0)</f>
        <v>29</v>
      </c>
      <c r="C30" s="1" t="str">
        <f>IFERROR(__xludf.DUMMYFUNCTION("""COMPUTED_VALUE"""),"Фонвизин Д.И. — краткая биография")</f>
        <v>Фонвизин Д.И. — краткая биография</v>
      </c>
      <c r="D30" s="1">
        <f>IFERROR(__xludf.DUMMYFUNCTION("""COMPUTED_VALUE"""),129.0)</f>
        <v>129</v>
      </c>
      <c r="E30" s="1" t="str">
        <f>IFERROR(__xludf.DUMMYFUNCTION("""COMPUTED_VALUE"""),"Сюжет поэмы – «Цыганы»")</f>
        <v>Сюжет поэмы – «Цыганы»</v>
      </c>
      <c r="F30" s="1">
        <f>IFERROR(__xludf.DUMMYFUNCTION("""COMPUTED_VALUE"""),229.0)</f>
        <v>229</v>
      </c>
      <c r="G30" s="1" t="str">
        <f>IFERROR(__xludf.DUMMYFUNCTION("""COMPUTED_VALUE"""),"Фольклорные мотивы «Песня про царя
Ивана Васильевича, молодого опричника
и удалого купца Калашникова»")</f>
        <v>Фольклорные мотивы «Песня про царя
Ивана Васильевича, молодого опричника
и удалого купца Калашникова»</v>
      </c>
      <c r="H30" s="1">
        <f>IFERROR(__xludf.DUMMYFUNCTION("""COMPUTED_VALUE"""),329.0)</f>
        <v>329</v>
      </c>
      <c r="I30" s="1" t="str">
        <f>IFERROR(__xludf.DUMMYFUNCTION("""COMPUTED_VALUE"""),"Темы «Гроза»")</f>
        <v>Темы «Гроза»</v>
      </c>
      <c r="J30" s="1">
        <f>IFERROR(__xludf.DUMMYFUNCTION("""COMPUTED_VALUE"""),429.0)</f>
        <v>429</v>
      </c>
      <c r="K30" s="1" t="str">
        <f>IFERROR(__xludf.DUMMYFUNCTION("""COMPUTED_VALUE"""),"Н.А. Некрасов — биография")</f>
        <v>Н.А. Некрасов — биография</v>
      </c>
      <c r="L30" s="1">
        <f>IFERROR(__xludf.DUMMYFUNCTION("""COMPUTED_VALUE"""),529.0)</f>
        <v>529</v>
      </c>
      <c r="M30" s="1" t="str">
        <f>IFERROR(__xludf.DUMMYFUNCTION("""COMPUTED_VALUE"""),"Элен Курагина")</f>
        <v>Элен Курагина</v>
      </c>
      <c r="N30" s="1">
        <f>IFERROR(__xludf.DUMMYFUNCTION("""COMPUTED_VALUE"""),629.0)</f>
        <v>629</v>
      </c>
      <c r="O30" s="1" t="str">
        <f>IFERROR(__xludf.DUMMYFUNCTION("""COMPUTED_VALUE"""),"Сюжет «Лапти»")</f>
        <v>Сюжет «Лапти»</v>
      </c>
      <c r="P30" s="1">
        <f>IFERROR(__xludf.DUMMYFUNCTION("""COMPUTED_VALUE"""),730.0)</f>
        <v>730</v>
      </c>
      <c r="Q30" s="1" t="str">
        <f>IFERROR(__xludf.DUMMYFUNCTION("""COMPUTED_VALUE"""),"Маяковский В.В. ""Скрипка и немножко нервно""")</f>
        <v>Маяковский В.В. "Скрипка и немножко нервно"</v>
      </c>
      <c r="R30" s="1">
        <f>IFERROR(__xludf.DUMMYFUNCTION("""COMPUTED_VALUE"""),829.0)</f>
        <v>829</v>
      </c>
      <c r="S30" s="1"/>
      <c r="T30" s="1"/>
      <c r="U30" s="1" t="str">
        <f>IFERROR(__xludf.DUMMYFUNCTION("""COMPUTED_VALUE"""),"Сюжет «Мастер и Маргарита»")</f>
        <v>Сюжет «Мастер и Маргарита»</v>
      </c>
      <c r="V30" s="1">
        <f>IFERROR(__xludf.DUMMYFUNCTION("""COMPUTED_VALUE"""),1029.0)</f>
        <v>1029</v>
      </c>
      <c r="W30" s="1" t="str">
        <f>IFERROR(__xludf.DUMMYFUNCTION("""COMPUTED_VALUE"""),"Трифонов Ю.В. ")</f>
        <v>Трифонов Ю.В. </v>
      </c>
      <c r="X30" s="1">
        <f>IFERROR(__xludf.DUMMYFUNCTION("""COMPUTED_VALUE"""),1129.0)</f>
        <v>1129</v>
      </c>
      <c r="Y30" s="1" t="str">
        <f>IFERROR(__xludf.DUMMYFUNCTION("""COMPUTED_VALUE"""),"У. Эко. Роман «Имя Розы»")</f>
        <v>У. Эко. Роман «Имя Розы»</v>
      </c>
      <c r="Z30" s="1">
        <f>IFERROR(__xludf.DUMMYFUNCTION("""COMPUTED_VALUE"""),1229.0)</f>
        <v>1229</v>
      </c>
    </row>
    <row r="31">
      <c r="A31" s="1" t="str">
        <f>IFERROR(__xludf.DUMMYFUNCTION("""COMPUTED_VALUE"""),"Стадии развития действия")</f>
        <v>Стадии развития действия</v>
      </c>
      <c r="B31" s="1">
        <f>IFERROR(__xludf.DUMMYFUNCTION("""COMPUTED_VALUE"""),30.0)</f>
        <v>30</v>
      </c>
      <c r="C31" s="1" t="str">
        <f>IFERROR(__xludf.DUMMYFUNCTION("""COMPUTED_VALUE"""),"История создания – «Недоросль»")</f>
        <v>История создания – «Недоросль»</v>
      </c>
      <c r="D31" s="1">
        <f>IFERROR(__xludf.DUMMYFUNCTION("""COMPUTED_VALUE"""),130.0)</f>
        <v>130</v>
      </c>
      <c r="E31" s="1" t="str">
        <f>IFERROR(__xludf.DUMMYFUNCTION("""COMPUTED_VALUE"""),"Побег Алеко")</f>
        <v>Побег Алеко</v>
      </c>
      <c r="F31" s="1">
        <f>IFERROR(__xludf.DUMMYFUNCTION("""COMPUTED_VALUE"""),230.0)</f>
        <v>230</v>
      </c>
      <c r="G31" s="1" t="str">
        <f>IFERROR(__xludf.DUMMYFUNCTION("""COMPUTED_VALUE"""),"Композиция «Песня про царя
Ивана Васильевича, молодого опричника
и удалого купца Калашникова»")</f>
        <v>Композиция «Песня про царя
Ивана Васильевича, молодого опричника
и удалого купца Калашникова»</v>
      </c>
      <c r="H31" s="1">
        <f>IFERROR(__xludf.DUMMYFUNCTION("""COMPUTED_VALUE"""),330.0)</f>
        <v>330</v>
      </c>
      <c r="I31" s="1" t="str">
        <f>IFERROR(__xludf.DUMMYFUNCTION("""COMPUTED_VALUE"""),"Идея «Гроза»")</f>
        <v>Идея «Гроза»</v>
      </c>
      <c r="J31" s="1">
        <f>IFERROR(__xludf.DUMMYFUNCTION("""COMPUTED_VALUE"""),430.0)</f>
        <v>430</v>
      </c>
      <c r="K31" s="1" t="str">
        <f>IFERROR(__xludf.DUMMYFUNCTION("""COMPUTED_VALUE"""),"Н.А. Некрасов – «Душно! Без счастья
и воли…»")</f>
        <v>Н.А. Некрасов – «Душно! Без счастья
и воли…»</v>
      </c>
      <c r="L31" s="1">
        <f>IFERROR(__xludf.DUMMYFUNCTION("""COMPUTED_VALUE"""),530.0)</f>
        <v>530</v>
      </c>
      <c r="M31" s="1" t="str">
        <f>IFERROR(__xludf.DUMMYFUNCTION("""COMPUTED_VALUE"""),"Анатоль Курагин")</f>
        <v>Анатоль Курагин</v>
      </c>
      <c r="N31" s="1">
        <f>IFERROR(__xludf.DUMMYFUNCTION("""COMPUTED_VALUE"""),630.0)</f>
        <v>630</v>
      </c>
      <c r="O31" s="1" t="str">
        <f>IFERROR(__xludf.DUMMYFUNCTION("""COMPUTED_VALUE"""),"Смысл названия «Лапти»")</f>
        <v>Смысл названия «Лапти»</v>
      </c>
      <c r="P31" s="1">
        <f>IFERROR(__xludf.DUMMYFUNCTION("""COMPUTED_VALUE"""),731.0)</f>
        <v>731</v>
      </c>
      <c r="Q31" s="1" t="str">
        <f>IFERROR(__xludf.DUMMYFUNCTION("""COMPUTED_VALUE"""),"Маяковский В.В. ""Лиличка""")</f>
        <v>Маяковский В.В. "Лиличка"</v>
      </c>
      <c r="R31" s="1">
        <f>IFERROR(__xludf.DUMMYFUNCTION("""COMPUTED_VALUE"""),830.0)</f>
        <v>830</v>
      </c>
      <c r="S31" s="1"/>
      <c r="T31" s="1"/>
      <c r="U31" s="1" t="str">
        <f>IFERROR(__xludf.DUMMYFUNCTION("""COMPUTED_VALUE"""),"Три мира в романе «Мастер и Маргарита»")</f>
        <v>Три мира в романе «Мастер и Маргарита»</v>
      </c>
      <c r="V31" s="1">
        <f>IFERROR(__xludf.DUMMYFUNCTION("""COMPUTED_VALUE"""),1030.0)</f>
        <v>1030</v>
      </c>
      <c r="W31" s="1" t="str">
        <f>IFERROR(__xludf.DUMMYFUNCTION("""COMPUTED_VALUE"""),"Ахмадулина Б.А.")</f>
        <v>Ахмадулина Б.А.</v>
      </c>
      <c r="X31" s="1">
        <f>IFERROR(__xludf.DUMMYFUNCTION("""COMPUTED_VALUE"""),1130.0)</f>
        <v>1130</v>
      </c>
      <c r="Y31" s="1" t="str">
        <f>IFERROR(__xludf.DUMMYFUNCTION("""COMPUTED_VALUE"""),"Поэзия")</f>
        <v>Поэзия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IFERROR(__xludf.DUMMYFUNCTION("""COMPUTED_VALUE"""),"Основные типы композиции")</f>
        <v>Основные типы композиции</v>
      </c>
      <c r="B32" s="1">
        <f>IFERROR(__xludf.DUMMYFUNCTION("""COMPUTED_VALUE"""),31.0)</f>
        <v>31</v>
      </c>
      <c r="C32" s="1" t="str">
        <f>IFERROR(__xludf.DUMMYFUNCTION("""COMPUTED_VALUE"""),"Смысл названия – «Недоросль»")</f>
        <v>Смысл названия – «Недоросль»</v>
      </c>
      <c r="D32" s="1">
        <f>IFERROR(__xludf.DUMMYFUNCTION("""COMPUTED_VALUE"""),131.0)</f>
        <v>131</v>
      </c>
      <c r="E32" s="1" t="str">
        <f>IFERROR(__xludf.DUMMYFUNCTION("""COMPUTED_VALUE"""),"Стать цыганом")</f>
        <v>Стать цыганом</v>
      </c>
      <c r="F32" s="1">
        <f>IFERROR(__xludf.DUMMYFUNCTION("""COMPUTED_VALUE"""),231.0)</f>
        <v>231</v>
      </c>
      <c r="G32" s="1" t="str">
        <f>IFERROR(__xludf.DUMMYFUNCTION("""COMPUTED_VALUE"""),"Сюжет «Песня про царя
Ивана Васильевича, молодого опричника
и удалого купца Калашникова»")</f>
        <v>Сюжет «Песня про царя
Ивана Васильевича, молодого опричника
и удалого купца Калашникова»</v>
      </c>
      <c r="H32" s="1">
        <f>IFERROR(__xludf.DUMMYFUNCTION("""COMPUTED_VALUE"""),331.0)</f>
        <v>331</v>
      </c>
      <c r="I32" s="1" t="str">
        <f>IFERROR(__xludf.DUMMYFUNCTION("""COMPUTED_VALUE"""),"История создания «Гроза»")</f>
        <v>История создания «Гроза»</v>
      </c>
      <c r="J32" s="1">
        <f>IFERROR(__xludf.DUMMYFUNCTION("""COMPUTED_VALUE"""),431.0)</f>
        <v>431</v>
      </c>
      <c r="K32" s="1" t="str">
        <f>IFERROR(__xludf.DUMMYFUNCTION("""COMPUTED_VALUE"""),"Н.А. Некрасов – «Тройка»")</f>
        <v>Н.А. Некрасов – «Тройка»</v>
      </c>
      <c r="L32" s="1">
        <f>IFERROR(__xludf.DUMMYFUNCTION("""COMPUTED_VALUE"""),531.0)</f>
        <v>531</v>
      </c>
      <c r="M32" s="1" t="str">
        <f>IFERROR(__xludf.DUMMYFUNCTION("""COMPUTED_VALUE"""),"Платон Каратаев")</f>
        <v>Платон Каратаев</v>
      </c>
      <c r="N32" s="1">
        <f>IFERROR(__xludf.DUMMYFUNCTION("""COMPUTED_VALUE"""),631.0)</f>
        <v>631</v>
      </c>
      <c r="O32" s="1" t="str">
        <f>IFERROR(__xludf.DUMMYFUNCTION("""COMPUTED_VALUE"""),"Образ Нефёдушки")</f>
        <v>Образ Нефёдушки</v>
      </c>
      <c r="P32" s="1">
        <f>IFERROR(__xludf.DUMMYFUNCTION("""COMPUTED_VALUE"""),732.0)</f>
        <v>732</v>
      </c>
      <c r="Q32" s="1" t="str">
        <f>IFERROR(__xludf.DUMMYFUNCTION("""COMPUTED_VALUE"""),"Маяковский В.В. ""Юбилейное""")</f>
        <v>Маяковский В.В. "Юбилейное"</v>
      </c>
      <c r="R32" s="1">
        <f>IFERROR(__xludf.DUMMYFUNCTION("""COMPUTED_VALUE"""),831.0)</f>
        <v>831</v>
      </c>
      <c r="S32" s="1"/>
      <c r="T32" s="1"/>
      <c r="U32" s="1" t="str">
        <f>IFERROR(__xludf.DUMMYFUNCTION("""COMPUTED_VALUE"""),"Система образов «Мастер и Маргарита»")</f>
        <v>Система образов «Мастер и Маргарита»</v>
      </c>
      <c r="V32" s="1">
        <f>IFERROR(__xludf.DUMMYFUNCTION("""COMPUTED_VALUE"""),1031.0)</f>
        <v>1031</v>
      </c>
      <c r="W32" s="1" t="str">
        <f>IFERROR(__xludf.DUMMYFUNCTION("""COMPUTED_VALUE"""),"Вознесенский А.А.")</f>
        <v>Вознесенский А.А.</v>
      </c>
      <c r="X32" s="1">
        <f>IFERROR(__xludf.DUMMYFUNCTION("""COMPUTED_VALUE"""),1144.0)</f>
        <v>1144</v>
      </c>
      <c r="Y32" s="1" t="str">
        <f>IFERROR(__xludf.DUMMYFUNCTION("""COMPUTED_VALUE"""),"Г. Аполлинер")</f>
        <v>Г. Аполлинер</v>
      </c>
      <c r="Z32" s="1">
        <f>IFERROR(__xludf.DUMMYFUNCTION("""COMPUTED_VALUE"""),1231.0)</f>
        <v>1231</v>
      </c>
    </row>
    <row r="33">
      <c r="A33" s="1" t="str">
        <f>IFERROR(__xludf.DUMMYFUNCTION("""COMPUTED_VALUE"""),"Эпиграф")</f>
        <v>Эпиграф</v>
      </c>
      <c r="B33" s="1">
        <f>IFERROR(__xludf.DUMMYFUNCTION("""COMPUTED_VALUE"""),32.0)</f>
        <v>32</v>
      </c>
      <c r="C33" s="1" t="str">
        <f>IFERROR(__xludf.DUMMYFUNCTION("""COMPUTED_VALUE"""),"Сюжет – «Недоросль»")</f>
        <v>Сюжет – «Недоросль»</v>
      </c>
      <c r="D33" s="1">
        <f>IFERROR(__xludf.DUMMYFUNCTION("""COMPUTED_VALUE"""),132.0)</f>
        <v>132</v>
      </c>
      <c r="E33" s="1" t="str">
        <f>IFERROR(__xludf.DUMMYFUNCTION("""COMPUTED_VALUE"""),"Линии в произведении – «Цыганы»")</f>
        <v>Линии в произведении – «Цыганы»</v>
      </c>
      <c r="F33" s="1">
        <f>IFERROR(__xludf.DUMMYFUNCTION("""COMPUTED_VALUE"""),232.0)</f>
        <v>232</v>
      </c>
      <c r="G33" s="1" t="str">
        <f>IFERROR(__xludf.DUMMYFUNCTION("""COMPUTED_VALUE"""),"Конфликт «Песня про царя
Ивана Васильевича, молодого опричника
и удалого купца Калашникова»")</f>
        <v>Конфликт «Песня про царя
Ивана Васильевича, молодого опричника
и удалого купца Калашникова»</v>
      </c>
      <c r="H33" s="1">
        <f>IFERROR(__xludf.DUMMYFUNCTION("""COMPUTED_VALUE"""),332.0)</f>
        <v>332</v>
      </c>
      <c r="I33" s="1" t="str">
        <f>IFERROR(__xludf.DUMMYFUNCTION("""COMPUTED_VALUE"""),"Композиция и сюжет «Гроза»")</f>
        <v>Композиция и сюжет «Гроза»</v>
      </c>
      <c r="J33" s="1">
        <f>IFERROR(__xludf.DUMMYFUNCTION("""COMPUTED_VALUE"""),432.0)</f>
        <v>432</v>
      </c>
      <c r="K33" s="1" t="str">
        <f>IFERROR(__xludf.DUMMYFUNCTION("""COMPUTED_VALUE"""),"Н.А. Некрасов – «Я не люблю иронии твоей…»")</f>
        <v>Н.А. Некрасов – «Я не люблю иронии твоей…»</v>
      </c>
      <c r="L33" s="1">
        <f>IFERROR(__xludf.DUMMYFUNCTION("""COMPUTED_VALUE"""),532.0)</f>
        <v>532</v>
      </c>
      <c r="M33" s="1" t="str">
        <f>IFERROR(__xludf.DUMMYFUNCTION("""COMPUTED_VALUE"""),"Война «Война и мир»")</f>
        <v>Война «Война и мир»</v>
      </c>
      <c r="N33" s="1">
        <f>IFERROR(__xludf.DUMMYFUNCTION("""COMPUTED_VALUE"""),632.0)</f>
        <v>632</v>
      </c>
      <c r="O33" s="1" t="str">
        <f>IFERROR(__xludf.DUMMYFUNCTION("""COMPUTED_VALUE"""),"Мать больного ребенка «Лапти»")</f>
        <v>Мать больного ребенка «Лапти»</v>
      </c>
      <c r="P33" s="1">
        <f>IFERROR(__xludf.DUMMYFUNCTION("""COMPUTED_VALUE"""),733.0)</f>
        <v>733</v>
      </c>
      <c r="Q33" s="1" t="str">
        <f>IFERROR(__xludf.DUMMYFUNCTION("""COMPUTED_VALUE"""),"Маяковский В.В. ""Прозаседавшиеся""")</f>
        <v>Маяковский В.В. "Прозаседавшиеся"</v>
      </c>
      <c r="R33" s="1">
        <f>IFERROR(__xludf.DUMMYFUNCTION("""COMPUTED_VALUE"""),832.0)</f>
        <v>832</v>
      </c>
      <c r="S33" s="1"/>
      <c r="T33" s="1"/>
      <c r="U33" s="1" t="str">
        <f>IFERROR(__xludf.DUMMYFUNCTION("""COMPUTED_VALUE"""),"Воланд")</f>
        <v>Воланд</v>
      </c>
      <c r="V33" s="1">
        <f>IFERROR(__xludf.DUMMYFUNCTION("""COMPUTED_VALUE"""),1032.0)</f>
        <v>1032</v>
      </c>
      <c r="W33" s="1" t="str">
        <f>IFERROR(__xludf.DUMMYFUNCTION("""COMPUTED_VALUE"""),"Высоцкий В.С. ")</f>
        <v>Высоцкий В.С. </v>
      </c>
      <c r="X33" s="1">
        <f>IFERROR(__xludf.DUMMYFUNCTION("""COMPUTED_VALUE"""),1145.0)</f>
        <v>1145</v>
      </c>
      <c r="Y33" s="1" t="str">
        <f>IFERROR(__xludf.DUMMYFUNCTION("""COMPUTED_VALUE"""),"Д.Г. Байрон")</f>
        <v>Д.Г. Байрон</v>
      </c>
      <c r="Z33" s="1">
        <f>IFERROR(__xludf.DUMMYFUNCTION("""COMPUTED_VALUE"""),1232.0)</f>
        <v>1232</v>
      </c>
    </row>
    <row r="34">
      <c r="A34" s="1" t="str">
        <f>IFERROR(__xludf.DUMMYFUNCTION("""COMPUTED_VALUE"""),"Антитеза")</f>
        <v>Антитеза</v>
      </c>
      <c r="B34" s="1">
        <f>IFERROR(__xludf.DUMMYFUNCTION("""COMPUTED_VALUE"""),33.0)</f>
        <v>33</v>
      </c>
      <c r="C34" s="1" t="str">
        <f>IFERROR(__xludf.DUMMYFUNCTION("""COMPUTED_VALUE"""),"Система персонажей – «Недоросль»")</f>
        <v>Система персонажей – «Недоросль»</v>
      </c>
      <c r="D34" s="1">
        <f>IFERROR(__xludf.DUMMYFUNCTION("""COMPUTED_VALUE"""),133.0)</f>
        <v>133</v>
      </c>
      <c r="E34" s="1" t="str">
        <f>IFERROR(__xludf.DUMMYFUNCTION("""COMPUTED_VALUE"""),"Минусы города – «Цыганы»")</f>
        <v>Минусы города – «Цыганы»</v>
      </c>
      <c r="F34" s="1">
        <f>IFERROR(__xludf.DUMMYFUNCTION("""COMPUTED_VALUE"""),233.0)</f>
        <v>233</v>
      </c>
      <c r="G34" s="1" t="str">
        <f>IFERROR(__xludf.DUMMYFUNCTION("""COMPUTED_VALUE"""),"Степан Парамонович Калашников")</f>
        <v>Степан Парамонович Калашников</v>
      </c>
      <c r="H34" s="1">
        <f>IFERROR(__xludf.DUMMYFUNCTION("""COMPUTED_VALUE"""),333.0)</f>
        <v>333</v>
      </c>
      <c r="I34" s="1" t="str">
        <f>IFERROR(__xludf.DUMMYFUNCTION("""COMPUTED_VALUE"""),"Театр «Гроза»")</f>
        <v>Театр «Гроза»</v>
      </c>
      <c r="J34" s="1">
        <f>IFERROR(__xludf.DUMMYFUNCTION("""COMPUTED_VALUE"""),433.0)</f>
        <v>433</v>
      </c>
      <c r="K34" s="1" t="str">
        <f>IFERROR(__xludf.DUMMYFUNCTION("""COMPUTED_VALUE"""),"Н.А. Некрасов – «Железная дорога»")</f>
        <v>Н.А. Некрасов – «Железная дорога»</v>
      </c>
      <c r="L34" s="1">
        <f>IFERROR(__xludf.DUMMYFUNCTION("""COMPUTED_VALUE"""),533.0)</f>
        <v>533</v>
      </c>
      <c r="M34" s="1" t="str">
        <f>IFERROR(__xludf.DUMMYFUNCTION("""COMPUTED_VALUE"""),"«После бала» — Толстой Л.Н.")</f>
        <v>«После бала» — Толстой Л.Н.</v>
      </c>
      <c r="N34" s="1">
        <f>IFERROR(__xludf.DUMMYFUNCTION("""COMPUTED_VALUE"""),633.0)</f>
        <v>633</v>
      </c>
      <c r="O34" s="1" t="str">
        <f>IFERROR(__xludf.DUMMYFUNCTION("""COMPUTED_VALUE"""),"Ребенок «Лапти»")</f>
        <v>Ребенок «Лапти»</v>
      </c>
      <c r="P34" s="1">
        <f>IFERROR(__xludf.DUMMYFUNCTION("""COMPUTED_VALUE"""),734.0)</f>
        <v>734</v>
      </c>
      <c r="Q34" s="1" t="str">
        <f>IFERROR(__xludf.DUMMYFUNCTION("""COMPUTED_VALUE"""),"Маяковский В.В. ""Нате!""")</f>
        <v>Маяковский В.В. "Нате!"</v>
      </c>
      <c r="R34" s="1">
        <f>IFERROR(__xludf.DUMMYFUNCTION("""COMPUTED_VALUE"""),833.0)</f>
        <v>833</v>
      </c>
      <c r="S34" s="1"/>
      <c r="T34" s="1"/>
      <c r="U34" s="1" t="str">
        <f>IFERROR(__xludf.DUMMYFUNCTION("""COMPUTED_VALUE"""),"Иешуа Га-Ноцри")</f>
        <v>Иешуа Га-Ноцри</v>
      </c>
      <c r="V34" s="1">
        <f>IFERROR(__xludf.DUMMYFUNCTION("""COMPUTED_VALUE"""),1033.0)</f>
        <v>1033</v>
      </c>
      <c r="W34" s="1" t="str">
        <f>IFERROR(__xludf.DUMMYFUNCTION("""COMPUTED_VALUE"""),"Гамзатов Р. ")</f>
        <v>Гамзатов Р. </v>
      </c>
      <c r="X34" s="1">
        <f>IFERROR(__xludf.DUMMYFUNCTION("""COMPUTED_VALUE"""),1146.0)</f>
        <v>1146</v>
      </c>
      <c r="Y34" s="1" t="str">
        <f>IFERROR(__xludf.DUMMYFUNCTION("""COMPUTED_VALUE"""),"Р. Бёрнс*")</f>
        <v>Р. Бёрнс*</v>
      </c>
      <c r="Z34" s="1">
        <f>IFERROR(__xludf.DUMMYFUNCTION("""COMPUTED_VALUE"""),1233.0)</f>
        <v>1233</v>
      </c>
    </row>
    <row r="35">
      <c r="A35" s="1" t="str">
        <f>IFERROR(__xludf.DUMMYFUNCTION("""COMPUTED_VALUE"""),"Пафос")</f>
        <v>Пафос</v>
      </c>
      <c r="B35" s="1">
        <f>IFERROR(__xludf.DUMMYFUNCTION("""COMPUTED_VALUE"""),34.0)</f>
        <v>34</v>
      </c>
      <c r="C35" s="1" t="str">
        <f>IFERROR(__xludf.DUMMYFUNCTION("""COMPUTED_VALUE"""),"""Творчество Карамзина Н.М. и Крылова И.А.""")</f>
        <v>"Творчество Карамзина Н.М. и Крылова И.А."</v>
      </c>
      <c r="D35" s="1">
        <f>IFERROR(__xludf.DUMMYFUNCTION("""COMPUTED_VALUE"""),134.0)</f>
        <v>134</v>
      </c>
      <c r="E35" s="1" t="str">
        <f>IFERROR(__xludf.DUMMYFUNCTION("""COMPUTED_VALUE"""),"Дружба и любовь — пороки  – «Цыганы»")</f>
        <v>Дружба и любовь — пороки  – «Цыганы»</v>
      </c>
      <c r="F35" s="1">
        <f>IFERROR(__xludf.DUMMYFUNCTION("""COMPUTED_VALUE"""),234.0)</f>
        <v>234</v>
      </c>
      <c r="G35" s="1" t="str">
        <f>IFERROR(__xludf.DUMMYFUNCTION("""COMPUTED_VALUE"""),"Опричник Кирибеевич")</f>
        <v>Опричник Кирибеевич</v>
      </c>
      <c r="H35" s="1">
        <f>IFERROR(__xludf.DUMMYFUNCTION("""COMPUTED_VALUE"""),334.0)</f>
        <v>334</v>
      </c>
      <c r="I35" s="1" t="str">
        <f>IFERROR(__xludf.DUMMYFUNCTION("""COMPUTED_VALUE"""),"Символика названия «Гроза»")</f>
        <v>Символика названия «Гроза»</v>
      </c>
      <c r="J35" s="1">
        <f>IFERROR(__xludf.DUMMYFUNCTION("""COMPUTED_VALUE"""),434.0)</f>
        <v>434</v>
      </c>
      <c r="K35" s="1" t="str">
        <f>IFERROR(__xludf.DUMMYFUNCTION("""COMPUTED_VALUE"""),"Н.А. Некрасов – «В дороге»")</f>
        <v>Н.А. Некрасов – «В дороге»</v>
      </c>
      <c r="L35" s="1">
        <f>IFERROR(__xludf.DUMMYFUNCTION("""COMPUTED_VALUE"""),534.0)</f>
        <v>534</v>
      </c>
      <c r="M35" s="1" t="str">
        <f>IFERROR(__xludf.DUMMYFUNCTION("""COMPUTED_VALUE"""),"Основные темы «После бала»")</f>
        <v>Основные темы «После бала»</v>
      </c>
      <c r="N35" s="1">
        <f>IFERROR(__xludf.DUMMYFUNCTION("""COMPUTED_VALUE"""),634.0)</f>
        <v>634</v>
      </c>
      <c r="O35" s="1" t="str">
        <f>IFERROR(__xludf.DUMMYFUNCTION("""COMPUTED_VALUE"""),"Анненский И.Ф.")</f>
        <v>Анненский И.Ф.</v>
      </c>
      <c r="P35" s="1">
        <f>IFERROR(__xludf.DUMMYFUNCTION("""COMPUTED_VALUE"""),735.0)</f>
        <v>735</v>
      </c>
      <c r="Q35" s="1" t="str">
        <f>IFERROR(__xludf.DUMMYFUNCTION("""COMPUTED_VALUE"""),"Маяковский В.В. ""Хорошее отношение к лошадям""")</f>
        <v>Маяковский В.В. "Хорошее отношение к лошадям"</v>
      </c>
      <c r="R35" s="1">
        <f>IFERROR(__xludf.DUMMYFUNCTION("""COMPUTED_VALUE"""),834.0)</f>
        <v>834</v>
      </c>
      <c r="S35" s="1"/>
      <c r="T35" s="1"/>
      <c r="U35" s="1" t="str">
        <f>IFERROR(__xludf.DUMMYFUNCTION("""COMPUTED_VALUE"""),"Понтий Пилат")</f>
        <v>Понтий Пилат</v>
      </c>
      <c r="V35" s="1">
        <f>IFERROR(__xludf.DUMMYFUNCTION("""COMPUTED_VALUE"""),1034.0)</f>
        <v>1034</v>
      </c>
      <c r="W35" s="1" t="str">
        <f>IFERROR(__xludf.DUMMYFUNCTION("""COMPUTED_VALUE"""),"Евтушенко Е.А. ")</f>
        <v>Евтушенко Е.А. </v>
      </c>
      <c r="X35" s="1">
        <f>IFERROR(__xludf.DUMMYFUNCTION("""COMPUTED_VALUE"""),1147.0)</f>
        <v>1147</v>
      </c>
      <c r="Y35" s="1" t="str">
        <f>IFERROR(__xludf.DUMMYFUNCTION("""COMPUTED_VALUE"""),"Г. Гейне*")</f>
        <v>Г. Гейне*</v>
      </c>
      <c r="Z35" s="1">
        <f>IFERROR(__xludf.DUMMYFUNCTION("""COMPUTED_VALUE"""),1234.0)</f>
        <v>1234</v>
      </c>
    </row>
    <row r="36">
      <c r="A36" s="1" t="str">
        <f>IFERROR(__xludf.DUMMYFUNCTION("""COMPUTED_VALUE"""),"Виды пафоса")</f>
        <v>Виды пафоса</v>
      </c>
      <c r="B36" s="1">
        <f>IFERROR(__xludf.DUMMYFUNCTION("""COMPUTED_VALUE"""),35.0)</f>
        <v>35</v>
      </c>
      <c r="C36" s="1" t="str">
        <f>IFERROR(__xludf.DUMMYFUNCTION("""COMPUTED_VALUE"""),"«Бедная Лиза» — Карамзин Н.М.")</f>
        <v>«Бедная Лиза» — Карамзин Н.М.</v>
      </c>
      <c r="D36" s="1">
        <f>IFERROR(__xludf.DUMMYFUNCTION("""COMPUTED_VALUE"""),135.0)</f>
        <v>135</v>
      </c>
      <c r="E36" s="1" t="str">
        <f>IFERROR(__xludf.DUMMYFUNCTION("""COMPUTED_VALUE"""),"Полная свобода для Алеко")</f>
        <v>Полная свобода для Алеко</v>
      </c>
      <c r="F36" s="1">
        <f>IFERROR(__xludf.DUMMYFUNCTION("""COMPUTED_VALUE"""),235.0)</f>
        <v>235</v>
      </c>
      <c r="G36" s="1" t="str">
        <f>IFERROR(__xludf.DUMMYFUNCTION("""COMPUTED_VALUE"""),"Лермонтов М.Ю. — «Мцыри»")</f>
        <v>Лермонтов М.Ю. — «Мцыри»</v>
      </c>
      <c r="H36" s="1">
        <f>IFERROR(__xludf.DUMMYFUNCTION("""COMPUTED_VALUE"""),335.0)</f>
        <v>335</v>
      </c>
      <c r="I36" s="1" t="str">
        <f>IFERROR(__xludf.DUMMYFUNCTION("""COMPUTED_VALUE"""),"Добролюбов Н.А. «Луч света в темном царстве»")</f>
        <v>Добролюбов Н.А. «Луч света в темном царстве»</v>
      </c>
      <c r="J36" s="1">
        <f>IFERROR(__xludf.DUMMYFUNCTION("""COMPUTED_VALUE"""),435.0)</f>
        <v>435</v>
      </c>
      <c r="K36" s="1" t="str">
        <f>IFERROR(__xludf.DUMMYFUNCTION("""COMPUTED_VALUE"""),"Н.А. Некрасов – «Вчерашний день, часу в шестом…»")</f>
        <v>Н.А. Некрасов – «Вчерашний день, часу в шестом…»</v>
      </c>
      <c r="L36" s="1">
        <f>IFERROR(__xludf.DUMMYFUNCTION("""COMPUTED_VALUE"""),535.0)</f>
        <v>535</v>
      </c>
      <c r="M36" s="1" t="str">
        <f>IFERROR(__xludf.DUMMYFUNCTION("""COMPUTED_VALUE"""),"Основные идеи «После бала»")</f>
        <v>Основные идеи «После бала»</v>
      </c>
      <c r="N36" s="1">
        <f>IFERROR(__xludf.DUMMYFUNCTION("""COMPUTED_VALUE"""),635.0)</f>
        <v>635</v>
      </c>
      <c r="O36" s="1" t="str">
        <f>IFERROR(__xludf.DUMMYFUNCTION("""COMPUTED_VALUE"""),"Белый А. ")</f>
        <v>Белый А. </v>
      </c>
      <c r="P36" s="1">
        <f>IFERROR(__xludf.DUMMYFUNCTION("""COMPUTED_VALUE"""),743.0)</f>
        <v>743</v>
      </c>
      <c r="Q36" s="1" t="str">
        <f>IFERROR(__xludf.DUMMYFUNCTION("""COMPUTED_VALUE"""),"Биография Есенина С.А. ")</f>
        <v>Биография Есенина С.А. </v>
      </c>
      <c r="R36" s="1">
        <f>IFERROR(__xludf.DUMMYFUNCTION("""COMPUTED_VALUE"""),835.0)</f>
        <v>835</v>
      </c>
      <c r="S36" s="1"/>
      <c r="T36" s="1"/>
      <c r="U36" s="1" t="str">
        <f>IFERROR(__xludf.DUMMYFUNCTION("""COMPUTED_VALUE"""),"Маргарита")</f>
        <v>Маргарита</v>
      </c>
      <c r="V36" s="1">
        <f>IFERROR(__xludf.DUMMYFUNCTION("""COMPUTED_VALUE"""),1035.0)</f>
        <v>1035</v>
      </c>
      <c r="W36" s="1" t="str">
        <f>IFERROR(__xludf.DUMMYFUNCTION("""COMPUTED_VALUE"""),"Заболоцкий Н.А. ")</f>
        <v>Заболоцкий Н.А. </v>
      </c>
      <c r="X36" s="1">
        <f>IFERROR(__xludf.DUMMYFUNCTION("""COMPUTED_VALUE"""),1148.0)</f>
        <v>1148</v>
      </c>
      <c r="Y36" s="1" t="str">
        <f>IFERROR(__xludf.DUMMYFUNCTION("""COMPUTED_VALUE"""),"У. Блейк")</f>
        <v>У. Блейк</v>
      </c>
      <c r="Z36" s="1">
        <f>IFERROR(__xludf.DUMMYFUNCTION("""COMPUTED_VALUE"""),1235.0)</f>
        <v>1235</v>
      </c>
    </row>
    <row r="37">
      <c r="A37" s="1" t="str">
        <f>IFERROR(__xludf.DUMMYFUNCTION("""COMPUTED_VALUE"""),"Лирическое отступление")</f>
        <v>Лирическое отступление</v>
      </c>
      <c r="B37" s="1">
        <f>IFERROR(__xludf.DUMMYFUNCTION("""COMPUTED_VALUE"""),36.0)</f>
        <v>36</v>
      </c>
      <c r="C37" s="1" t="str">
        <f>IFERROR(__xludf.DUMMYFUNCTION("""COMPUTED_VALUE"""),"Краткие сведения – ""Бедная Лиза""")</f>
        <v>Краткие сведения – "Бедная Лиза"</v>
      </c>
      <c r="D37" s="1">
        <f>IFERROR(__xludf.DUMMYFUNCTION("""COMPUTED_VALUE"""),136.0)</f>
        <v>136</v>
      </c>
      <c r="E37" s="1" t="str">
        <f>IFERROR(__xludf.DUMMYFUNCTION("""COMPUTED_VALUE"""),"Песня Земфиры")</f>
        <v>Песня Земфиры</v>
      </c>
      <c r="F37" s="1">
        <f>IFERROR(__xludf.DUMMYFUNCTION("""COMPUTED_VALUE"""),236.0)</f>
        <v>236</v>
      </c>
      <c r="G37" s="1" t="str">
        <f>IFERROR(__xludf.DUMMYFUNCTION("""COMPUTED_VALUE"""),"Особенности произведения «Мцыри»")</f>
        <v>Особенности произведения «Мцыри»</v>
      </c>
      <c r="H37" s="1">
        <f>IFERROR(__xludf.DUMMYFUNCTION("""COMPUTED_VALUE"""),336.0)</f>
        <v>336</v>
      </c>
      <c r="I37" s="1" t="str">
        <f>IFERROR(__xludf.DUMMYFUNCTION("""COMPUTED_VALUE"""),"Система образов «Гроза»")</f>
        <v>Система образов «Гроза»</v>
      </c>
      <c r="J37" s="1">
        <f>IFERROR(__xludf.DUMMYFUNCTION("""COMPUTED_VALUE"""),436.0)</f>
        <v>436</v>
      </c>
      <c r="K37" s="1" t="str">
        <f>IFERROR(__xludf.DUMMYFUNCTION("""COMPUTED_VALUE"""),"Н.А. Некрасов – «Мы с тобой бестолковые люди…»")</f>
        <v>Н.А. Некрасов – «Мы с тобой бестолковые люди…»</v>
      </c>
      <c r="L37" s="1">
        <f>IFERROR(__xludf.DUMMYFUNCTION("""COMPUTED_VALUE"""),536.0)</f>
        <v>536</v>
      </c>
      <c r="M37" s="1" t="str">
        <f>IFERROR(__xludf.DUMMYFUNCTION("""COMPUTED_VALUE"""),"Система образов «После бала»")</f>
        <v>Система образов «После бала»</v>
      </c>
      <c r="N37" s="1">
        <f>IFERROR(__xludf.DUMMYFUNCTION("""COMPUTED_VALUE"""),636.0)</f>
        <v>636</v>
      </c>
      <c r="O37" s="1" t="str">
        <f>IFERROR(__xludf.DUMMYFUNCTION("""COMPUTED_VALUE"""),"Бунин И.А. – «Алёнушка»")</f>
        <v>Бунин И.А. – «Алёнушка»</v>
      </c>
      <c r="P37" s="1">
        <f>IFERROR(__xludf.DUMMYFUNCTION("""COMPUTED_VALUE"""),744.0)</f>
        <v>744</v>
      </c>
      <c r="Q37" s="1" t="str">
        <f>IFERROR(__xludf.DUMMYFUNCTION("""COMPUTED_VALUE"""),"Особенности имажинизма")</f>
        <v>Особенности имажинизма</v>
      </c>
      <c r="R37" s="1">
        <f>IFERROR(__xludf.DUMMYFUNCTION("""COMPUTED_VALUE"""),836.0)</f>
        <v>836</v>
      </c>
      <c r="S37" s="1"/>
      <c r="T37" s="1"/>
      <c r="U37" s="1" t="str">
        <f>IFERROR(__xludf.DUMMYFUNCTION("""COMPUTED_VALUE"""),"Мастер")</f>
        <v>Мастер</v>
      </c>
      <c r="V37" s="1">
        <f>IFERROR(__xludf.DUMMYFUNCTION("""COMPUTED_VALUE"""),1036.0)</f>
        <v>1036</v>
      </c>
      <c r="W37" s="1" t="str">
        <f>IFERROR(__xludf.DUMMYFUNCTION("""COMPUTED_VALUE"""),"Кузнецов Ю.П.")</f>
        <v>Кузнецов Ю.П.</v>
      </c>
      <c r="X37" s="1">
        <f>IFERROR(__xludf.DUMMYFUNCTION("""COMPUTED_VALUE"""),1149.0)</f>
        <v>1149</v>
      </c>
      <c r="Y37" s="1" t="str">
        <f>IFERROR(__xludf.DUMMYFUNCTION("""COMPUTED_VALUE"""),"Ш. Бодлер")</f>
        <v>Ш. Бодлер</v>
      </c>
      <c r="Z37" s="1">
        <f>IFERROR(__xludf.DUMMYFUNCTION("""COMPUTED_VALUE"""),1236.0)</f>
        <v>1236</v>
      </c>
    </row>
    <row r="38">
      <c r="A38" s="1" t="str">
        <f>IFERROR(__xludf.DUMMYFUNCTION("""COMPUTED_VALUE"""),"Конфликт")</f>
        <v>Конфликт</v>
      </c>
      <c r="B38" s="1">
        <f>IFERROR(__xludf.DUMMYFUNCTION("""COMPUTED_VALUE"""),37.0)</f>
        <v>37</v>
      </c>
      <c r="C38" s="1" t="str">
        <f>IFERROR(__xludf.DUMMYFUNCTION("""COMPUTED_VALUE"""),"История создания – ""Бедная Лиза""")</f>
        <v>История создания – "Бедная Лиза"</v>
      </c>
      <c r="D38" s="1">
        <f>IFERROR(__xludf.DUMMYFUNCTION("""COMPUTED_VALUE"""),137.0)</f>
        <v>137</v>
      </c>
      <c r="E38" s="1" t="str">
        <f>IFERROR(__xludf.DUMMYFUNCTION("""COMPUTED_VALUE"""),"Образ Алеко")</f>
        <v>Образ Алеко</v>
      </c>
      <c r="F38" s="1">
        <f>IFERROR(__xludf.DUMMYFUNCTION("""COMPUTED_VALUE"""),237.0)</f>
        <v>237</v>
      </c>
      <c r="G38" s="1" t="str">
        <f>IFERROR(__xludf.DUMMYFUNCTION("""COMPUTED_VALUE"""),"Романтические черты «Мцыри»")</f>
        <v>Романтические черты «Мцыри»</v>
      </c>
      <c r="H38" s="1">
        <f>IFERROR(__xludf.DUMMYFUNCTION("""COMPUTED_VALUE"""),337.0)</f>
        <v>337</v>
      </c>
      <c r="I38" s="1" t="str">
        <f>IFERROR(__xludf.DUMMYFUNCTION("""COMPUTED_VALUE"""),"Катерина Кабанова")</f>
        <v>Катерина Кабанова</v>
      </c>
      <c r="J38" s="1">
        <f>IFERROR(__xludf.DUMMYFUNCTION("""COMPUTED_VALUE"""),437.0)</f>
        <v>437</v>
      </c>
      <c r="K38" s="1" t="str">
        <f>IFERROR(__xludf.DUMMYFUNCTION("""COMPUTED_VALUE"""),"Н.А. Некрасов – «Поэт и гражданин»")</f>
        <v>Н.А. Некрасов – «Поэт и гражданин»</v>
      </c>
      <c r="L38" s="1">
        <f>IFERROR(__xludf.DUMMYFUNCTION("""COMPUTED_VALUE"""),537.0)</f>
        <v>537</v>
      </c>
      <c r="M38" s="1" t="str">
        <f>IFERROR(__xludf.DUMMYFUNCTION("""COMPUTED_VALUE"""),"Достоевский Ф.М. - ""Преступление и наказание"": особенности произведения")</f>
        <v>Достоевский Ф.М. - "Преступление и наказание": особенности произведения</v>
      </c>
      <c r="N38" s="1">
        <f>IFERROR(__xludf.DUMMYFUNCTION("""COMPUTED_VALUE"""),637.0)</f>
        <v>637</v>
      </c>
      <c r="O38" s="1" t="str">
        <f>IFERROR(__xludf.DUMMYFUNCTION("""COMPUTED_VALUE"""),"Бунин И.А. – «Вечер»")</f>
        <v>Бунин И.А. – «Вечер»</v>
      </c>
      <c r="P38" s="1">
        <f>IFERROR(__xludf.DUMMYFUNCTION("""COMPUTED_VALUE"""),745.0)</f>
        <v>745</v>
      </c>
      <c r="Q38" s="1" t="str">
        <f>IFERROR(__xludf.DUMMYFUNCTION("""COMPUTED_VALUE"""),"Есенин С.А. ""Гой ты, Русь, моя родная"": анализ произведения")</f>
        <v>Есенин С.А. "Гой ты, Русь, моя родная": анализ произведения</v>
      </c>
      <c r="R38" s="1">
        <f>IFERROR(__xludf.DUMMYFUNCTION("""COMPUTED_VALUE"""),837.0)</f>
        <v>837</v>
      </c>
      <c r="S38" s="1"/>
      <c r="T38" s="1"/>
      <c r="U38" s="1" t="str">
        <f>IFERROR(__xludf.DUMMYFUNCTION("""COMPUTED_VALUE"""),"Свита Воланда")</f>
        <v>Свита Воланда</v>
      </c>
      <c r="V38" s="1">
        <f>IFERROR(__xludf.DUMMYFUNCTION("""COMPUTED_VALUE"""),1037.0)</f>
        <v>1037</v>
      </c>
      <c r="W38" s="1" t="str">
        <f>IFERROR(__xludf.DUMMYFUNCTION("""COMPUTED_VALUE"""),"Мартынов Л.Н. ")</f>
        <v>Мартынов Л.Н. </v>
      </c>
      <c r="X38" s="1">
        <f>IFERROR(__xludf.DUMMYFUNCTION("""COMPUTED_VALUE"""),1150.0)</f>
        <v>1150</v>
      </c>
      <c r="Y38" s="1" t="str">
        <f>IFERROR(__xludf.DUMMYFUNCTION("""COMPUTED_VALUE"""),"Ф. Вийон*")</f>
        <v>Ф. Вийон*</v>
      </c>
      <c r="Z38" s="1">
        <f>IFERROR(__xludf.DUMMYFUNCTION("""COMPUTED_VALUE"""),1237.0)</f>
        <v>1237</v>
      </c>
    </row>
    <row r="39">
      <c r="A39" s="1" t="str">
        <f>IFERROR(__xludf.DUMMYFUNCTION("""COMPUTED_VALUE"""),"Автор")</f>
        <v>Автор</v>
      </c>
      <c r="B39" s="1">
        <f>IFERROR(__xludf.DUMMYFUNCTION("""COMPUTED_VALUE"""),38.0)</f>
        <v>38</v>
      </c>
      <c r="C39" s="1" t="str">
        <f>IFERROR(__xludf.DUMMYFUNCTION("""COMPUTED_VALUE"""),"Сюжет – ""Бедная Лиза""")</f>
        <v>Сюжет – "Бедная Лиза"</v>
      </c>
      <c r="D39" s="1">
        <f>IFERROR(__xludf.DUMMYFUNCTION("""COMPUTED_VALUE"""),138.0)</f>
        <v>138</v>
      </c>
      <c r="E39" s="1" t="str">
        <f>IFERROR(__xludf.DUMMYFUNCTION("""COMPUTED_VALUE"""),"Пушкин А.С. — «Выстрел»: краткие сведения")</f>
        <v>Пушкин А.С. — «Выстрел»: краткие сведения</v>
      </c>
      <c r="F39" s="1">
        <f>IFERROR(__xludf.DUMMYFUNCTION("""COMPUTED_VALUE"""),238.0)</f>
        <v>238</v>
      </c>
      <c r="G39" s="1" t="str">
        <f>IFERROR(__xludf.DUMMYFUNCTION("""COMPUTED_VALUE"""),"В.Г. Белинский о «Мцыри»")</f>
        <v>В.Г. Белинский о «Мцыри»</v>
      </c>
      <c r="H39" s="1">
        <f>IFERROR(__xludf.DUMMYFUNCTION("""COMPUTED_VALUE"""),338.0)</f>
        <v>338</v>
      </c>
      <c r="I39" s="1" t="str">
        <f>IFERROR(__xludf.DUMMYFUNCTION("""COMPUTED_VALUE"""),"Марфа Игнатьевна Кабанова (Кабаниха)")</f>
        <v>Марфа Игнатьевна Кабанова (Кабаниха)</v>
      </c>
      <c r="J39" s="1">
        <f>IFERROR(__xludf.DUMMYFUNCTION("""COMPUTED_VALUE"""),438.0)</f>
        <v>438</v>
      </c>
      <c r="K39" s="1" t="str">
        <f>IFERROR(__xludf.DUMMYFUNCTION("""COMPUTED_VALUE"""),"Н.А. Некрасов – «Элегия»")</f>
        <v>Н.А. Некрасов – «Элегия»</v>
      </c>
      <c r="L39" s="1">
        <f>IFERROR(__xludf.DUMMYFUNCTION("""COMPUTED_VALUE"""),538.0)</f>
        <v>538</v>
      </c>
      <c r="M39" s="1" t="str">
        <f>IFERROR(__xludf.DUMMYFUNCTION("""COMPUTED_VALUE"""),"Темы ""Преступление и наказание""")</f>
        <v>Темы "Преступление и наказание"</v>
      </c>
      <c r="N39" s="1">
        <f>IFERROR(__xludf.DUMMYFUNCTION("""COMPUTED_VALUE"""),638.0)</f>
        <v>638</v>
      </c>
      <c r="O39" s="1" t="str">
        <f>IFERROR(__xludf.DUMMYFUNCTION("""COMPUTED_VALUE"""),"Бунин И.А. – «Дурман»")</f>
        <v>Бунин И.А. – «Дурман»</v>
      </c>
      <c r="P39" s="1">
        <f>IFERROR(__xludf.DUMMYFUNCTION("""COMPUTED_VALUE"""),746.0)</f>
        <v>746</v>
      </c>
      <c r="Q39" s="1" t="str">
        <f>IFERROR(__xludf.DUMMYFUNCTION("""COMPUTED_VALUE"""),"Есенин С.А. ""Не бродить, не мять в кустах багряных..."": анализ произведения")</f>
        <v>Есенин С.А. "Не бродить, не мять в кустах багряных...": анализ произведения</v>
      </c>
      <c r="R39" s="1">
        <f>IFERROR(__xludf.DUMMYFUNCTION("""COMPUTED_VALUE"""),838.0)</f>
        <v>838</v>
      </c>
      <c r="S39" s="1"/>
      <c r="T39" s="1"/>
      <c r="U39" s="1" t="str">
        <f>IFERROR(__xludf.DUMMYFUNCTION("""COMPUTED_VALUE"""),"Герои московского мира «Мастер и Маргарита»")</f>
        <v>Герои московского мира «Мастер и Маргарита»</v>
      </c>
      <c r="V39" s="1">
        <f>IFERROR(__xludf.DUMMYFUNCTION("""COMPUTED_VALUE"""),1038.0)</f>
        <v>1038</v>
      </c>
      <c r="W39" s="1" t="str">
        <f>IFERROR(__xludf.DUMMYFUNCTION("""COMPUTED_VALUE"""),"Окуджава Б.Ш. ")</f>
        <v>Окуджава Б.Ш. </v>
      </c>
      <c r="X39" s="1">
        <f>IFERROR(__xludf.DUMMYFUNCTION("""COMPUTED_VALUE"""),1151.0)</f>
        <v>1151</v>
      </c>
      <c r="Y39" s="1" t="str">
        <f>IFERROR(__xludf.DUMMYFUNCTION("""COMPUTED_VALUE"""),"П. Верлен")</f>
        <v>П. Верлен</v>
      </c>
      <c r="Z39" s="1">
        <f>IFERROR(__xludf.DUMMYFUNCTION("""COMPUTED_VALUE"""),1238.0)</f>
        <v>1238</v>
      </c>
    </row>
    <row r="40">
      <c r="A40" s="1" t="str">
        <f>IFERROR(__xludf.DUMMYFUNCTION("""COMPUTED_VALUE"""),"Персонаж")</f>
        <v>Персонаж</v>
      </c>
      <c r="B40" s="1">
        <f>IFERROR(__xludf.DUMMYFUNCTION("""COMPUTED_VALUE"""),39.0)</f>
        <v>39</v>
      </c>
      <c r="C40" s="1" t="str">
        <f>IFERROR(__xludf.DUMMYFUNCTION("""COMPUTED_VALUE"""),"Новаторство Карамзина Н.М.")</f>
        <v>Новаторство Карамзина Н.М.</v>
      </c>
      <c r="D40" s="1">
        <f>IFERROR(__xludf.DUMMYFUNCTION("""COMPUTED_VALUE"""),139.0)</f>
        <v>139</v>
      </c>
      <c r="E40" s="1" t="str">
        <f>IFERROR(__xludf.DUMMYFUNCTION("""COMPUTED_VALUE"""),"Сюжет «Выстрел»")</f>
        <v>Сюжет «Выстрел»</v>
      </c>
      <c r="F40" s="1">
        <f>IFERROR(__xludf.DUMMYFUNCTION("""COMPUTED_VALUE"""),239.0)</f>
        <v>239</v>
      </c>
      <c r="G40" s="1" t="str">
        <f>IFERROR(__xludf.DUMMYFUNCTION("""COMPUTED_VALUE"""),"История создания «Мцыри»")</f>
        <v>История создания «Мцыри»</v>
      </c>
      <c r="H40" s="1">
        <f>IFERROR(__xludf.DUMMYFUNCTION("""COMPUTED_VALUE"""),339.0)</f>
        <v>339</v>
      </c>
      <c r="I40" s="1" t="str">
        <f>IFERROR(__xludf.DUMMYFUNCTION("""COMPUTED_VALUE"""),"Тихон Иванович Кабанов")</f>
        <v>Тихон Иванович Кабанов</v>
      </c>
      <c r="J40" s="1">
        <f>IFERROR(__xludf.DUMMYFUNCTION("""COMPUTED_VALUE"""),439.0)</f>
        <v>439</v>
      </c>
      <c r="K40" s="1" t="str">
        <f>IFERROR(__xludf.DUMMYFUNCTION("""COMPUTED_VALUE"""),"Н.А. Некрасов – «О Муза! я у двери гроба!..»")</f>
        <v>Н.А. Некрасов – «О Муза! я у двери гроба!..»</v>
      </c>
      <c r="L40" s="1">
        <f>IFERROR(__xludf.DUMMYFUNCTION("""COMPUTED_VALUE"""),539.0)</f>
        <v>539</v>
      </c>
      <c r="M40" s="1" t="str">
        <f>IFERROR(__xludf.DUMMYFUNCTION("""COMPUTED_VALUE"""),"Идеи ""Преступление и наказание""")</f>
        <v>Идеи "Преступление и наказание"</v>
      </c>
      <c r="N40" s="1">
        <f>IFERROR(__xludf.DUMMYFUNCTION("""COMPUTED_VALUE"""),639.0)</f>
        <v>639</v>
      </c>
      <c r="O40" s="1" t="str">
        <f>IFERROR(__xludf.DUMMYFUNCTION("""COMPUTED_VALUE"""),"Бунин И.А. – «И цветы, и шмели, и трава, и колосья…»")</f>
        <v>Бунин И.А. – «И цветы, и шмели, и трава, и колосья…»</v>
      </c>
      <c r="P40" s="1">
        <f>IFERROR(__xludf.DUMMYFUNCTION("""COMPUTED_VALUE"""),747.0)</f>
        <v>747</v>
      </c>
      <c r="Q40" s="1" t="str">
        <f>IFERROR(__xludf.DUMMYFUNCTION("""COMPUTED_VALUE"""),"Есенин С.А. ""Мы теперь выходим понемногу..."": анализ произведения")</f>
        <v>Есенин С.А. "Мы теперь выходим понемногу...": анализ произведения</v>
      </c>
      <c r="R40" s="1">
        <f>IFERROR(__xludf.DUMMYFUNCTION("""COMPUTED_VALUE"""),839.0)</f>
        <v>839</v>
      </c>
      <c r="S40" s="1"/>
      <c r="T40" s="1"/>
      <c r="U40" s="1" t="str">
        <f>IFERROR(__xludf.DUMMYFUNCTION("""COMPUTED_VALUE"""),"Биография А.Т. Твардовского")</f>
        <v>Биография А.Т. Твардовского</v>
      </c>
      <c r="V40" s="1">
        <f>IFERROR(__xludf.DUMMYFUNCTION("""COMPUTED_VALUE"""),1039.0)</f>
        <v>1039</v>
      </c>
      <c r="W40" s="1" t="str">
        <f>IFERROR(__xludf.DUMMYFUNCTION("""COMPUTED_VALUE"""),"Рубцов Н.М. ")</f>
        <v>Рубцов Н.М. </v>
      </c>
      <c r="X40" s="1">
        <f>IFERROR(__xludf.DUMMYFUNCTION("""COMPUTED_VALUE"""),1152.0)</f>
        <v>1152</v>
      </c>
      <c r="Y40" s="1" t="str">
        <f>IFERROR(__xludf.DUMMYFUNCTION("""COMPUTED_VALUE"""),"Э. Верхарн")</f>
        <v>Э. Верхарн</v>
      </c>
      <c r="Z40" s="1">
        <f>IFERROR(__xludf.DUMMYFUNCTION("""COMPUTED_VALUE"""),1239.0)</f>
        <v>1239</v>
      </c>
    </row>
    <row r="41">
      <c r="A41" s="1" t="str">
        <f>IFERROR(__xludf.DUMMYFUNCTION("""COMPUTED_VALUE"""),"Характер")</f>
        <v>Характер</v>
      </c>
      <c r="B41" s="1">
        <f>IFERROR(__xludf.DUMMYFUNCTION("""COMPUTED_VALUE"""),40.0)</f>
        <v>40</v>
      </c>
      <c r="C41" s="1" t="str">
        <f>IFERROR(__xludf.DUMMYFUNCTION("""COMPUTED_VALUE"""),"Сентиментализм")</f>
        <v>Сентиментализм</v>
      </c>
      <c r="D41" s="1">
        <f>IFERROR(__xludf.DUMMYFUNCTION("""COMPUTED_VALUE"""),140.0)</f>
        <v>140</v>
      </c>
      <c r="E41" s="1" t="str">
        <f>IFERROR(__xludf.DUMMYFUNCTION("""COMPUTED_VALUE"""),"Темы «Выстрел»")</f>
        <v>Темы «Выстрел»</v>
      </c>
      <c r="F41" s="1">
        <f>IFERROR(__xludf.DUMMYFUNCTION("""COMPUTED_VALUE"""),240.0)</f>
        <v>240</v>
      </c>
      <c r="G41" s="1" t="str">
        <f>IFERROR(__xludf.DUMMYFUNCTION("""COMPUTED_VALUE"""),"Кто такой Мцыри?")</f>
        <v>Кто такой Мцыри?</v>
      </c>
      <c r="H41" s="1">
        <f>IFERROR(__xludf.DUMMYFUNCTION("""COMPUTED_VALUE"""),340.0)</f>
        <v>340</v>
      </c>
      <c r="I41" s="1" t="str">
        <f>IFERROR(__xludf.DUMMYFUNCTION("""COMPUTED_VALUE"""),"Кулигин")</f>
        <v>Кулигин</v>
      </c>
      <c r="J41" s="1">
        <f>IFERROR(__xludf.DUMMYFUNCTION("""COMPUTED_VALUE"""),440.0)</f>
        <v>440</v>
      </c>
      <c r="K41" s="1" t="str">
        <f>IFERROR(__xludf.DUMMYFUNCTION("""COMPUTED_VALUE"""),"Н.А. Некрасов — «Кому на Руси жить хорошо»: особенности произведения")</f>
        <v>Н.А. Некрасов — «Кому на Руси жить хорошо»: особенности произведения</v>
      </c>
      <c r="L41" s="1">
        <f>IFERROR(__xludf.DUMMYFUNCTION("""COMPUTED_VALUE"""),540.0)</f>
        <v>540</v>
      </c>
      <c r="M41" s="1" t="str">
        <f>IFERROR(__xludf.DUMMYFUNCTION("""COMPUTED_VALUE"""),"Проблематика ""Преступление и наказание""")</f>
        <v>Проблематика "Преступление и наказание"</v>
      </c>
      <c r="N41" s="1">
        <f>IFERROR(__xludf.DUMMYFUNCTION("""COMPUTED_VALUE"""),640.0)</f>
        <v>640</v>
      </c>
      <c r="O41" s="1" t="str">
        <f>IFERROR(__xludf.DUMMYFUNCTION("""COMPUTED_VALUE"""),"
Бунин И.А. –  «У зверя
есть гнездо, у птицы есть нора…»")</f>
        <v>
Бунин И.А. –  «У зверя
есть гнездо, у птицы есть нора…»</v>
      </c>
      <c r="P41" s="1">
        <f>IFERROR(__xludf.DUMMYFUNCTION("""COMPUTED_VALUE"""),748.0)</f>
        <v>748</v>
      </c>
      <c r="Q41" s="1" t="str">
        <f>IFERROR(__xludf.DUMMYFUNCTION("""COMPUTED_VALUE"""),"Есенин С.А. ""Письмо матери"": анализ произведения")</f>
        <v>Есенин С.А. "Письмо матери": анализ произведения</v>
      </c>
      <c r="R41" s="1">
        <f>IFERROR(__xludf.DUMMYFUNCTION("""COMPUTED_VALUE"""),840.0)</f>
        <v>840</v>
      </c>
      <c r="S41" s="1"/>
      <c r="T41" s="1"/>
      <c r="U41" s="1" t="str">
        <f>IFERROR(__xludf.DUMMYFUNCTION("""COMPUTED_VALUE"""),"Твардовский А.Т. ""Вся суть в одном-единственном завете..."": анализ произведения")</f>
        <v>Твардовский А.Т. "Вся суть в одном-единственном завете...": анализ произведения</v>
      </c>
      <c r="V41" s="1">
        <f>IFERROR(__xludf.DUMMYFUNCTION("""COMPUTED_VALUE"""),1040.0)</f>
        <v>1040</v>
      </c>
      <c r="W41" s="1" t="str">
        <f>IFERROR(__xludf.DUMMYFUNCTION("""COMPUTED_VALUE"""),"Самойлов Д.С. ")</f>
        <v>Самойлов Д.С. </v>
      </c>
      <c r="X41" s="1">
        <f>IFERROR(__xludf.DUMMYFUNCTION("""COMPUTED_VALUE"""),1153.0)</f>
        <v>1153</v>
      </c>
      <c r="Y41" s="1" t="str">
        <f>IFERROR(__xludf.DUMMYFUNCTION("""COMPUTED_VALUE"""),"Г. Гейне")</f>
        <v>Г. Гейне</v>
      </c>
      <c r="Z41" s="1">
        <f>IFERROR(__xludf.DUMMYFUNCTION("""COMPUTED_VALUE"""),1240.0)</f>
        <v>1240</v>
      </c>
    </row>
    <row r="42">
      <c r="A42" s="1" t="str">
        <f>IFERROR(__xludf.DUMMYFUNCTION("""COMPUTED_VALUE"""),"Тип")</f>
        <v>Тип</v>
      </c>
      <c r="B42" s="1">
        <f>IFERROR(__xludf.DUMMYFUNCTION("""COMPUTED_VALUE"""),41.0)</f>
        <v>41</v>
      </c>
      <c r="C42" s="1" t="str">
        <f>IFERROR(__xludf.DUMMYFUNCTION("""COMPUTED_VALUE"""),"Роль пейзажа в повести  – ""Бедная Лиза""")</f>
        <v>Роль пейзажа в повести  – "Бедная Лиза"</v>
      </c>
      <c r="D42" s="1">
        <f>IFERROR(__xludf.DUMMYFUNCTION("""COMPUTED_VALUE"""),141.0)</f>
        <v>141</v>
      </c>
      <c r="E42" s="1" t="str">
        <f>IFERROR(__xludf.DUMMYFUNCTION("""COMPUTED_VALUE"""),"Проблема «Выстрел»")</f>
        <v>Проблема «Выстрел»</v>
      </c>
      <c r="F42" s="1">
        <f>IFERROR(__xludf.DUMMYFUNCTION("""COMPUTED_VALUE"""),241.0)</f>
        <v>241</v>
      </c>
      <c r="G42" s="1" t="str">
        <f>IFERROR(__xludf.DUMMYFUNCTION("""COMPUTED_VALUE"""),"Композиция и сюжет «Мцыри»")</f>
        <v>Композиция и сюжет «Мцыри»</v>
      </c>
      <c r="H42" s="1">
        <f>IFERROR(__xludf.DUMMYFUNCTION("""COMPUTED_VALUE"""),341.0)</f>
        <v>341</v>
      </c>
      <c r="I42" s="1" t="str">
        <f>IFERROR(__xludf.DUMMYFUNCTION("""COMPUTED_VALUE"""),"Варвара Ивановна Кабанова")</f>
        <v>Варвара Ивановна Кабанова</v>
      </c>
      <c r="J42" s="1">
        <f>IFERROR(__xludf.DUMMYFUNCTION("""COMPUTED_VALUE"""),441.0)</f>
        <v>441</v>
      </c>
      <c r="K42" s="1" t="str">
        <f>IFERROR(__xludf.DUMMYFUNCTION("""COMPUTED_VALUE"""),"Темы «Кому на Руси жить хорошо»")</f>
        <v>Темы «Кому на Руси жить хорошо»</v>
      </c>
      <c r="L42" s="1">
        <f>IFERROR(__xludf.DUMMYFUNCTION("""COMPUTED_VALUE"""),541.0)</f>
        <v>541</v>
      </c>
      <c r="M42" s="1" t="str">
        <f>IFERROR(__xludf.DUMMYFUNCTION("""COMPUTED_VALUE"""),"История создания ""Преступление и наказание""")</f>
        <v>История создания "Преступление и наказание"</v>
      </c>
      <c r="N42" s="1">
        <f>IFERROR(__xludf.DUMMYFUNCTION("""COMPUTED_VALUE"""),641.0)</f>
        <v>641</v>
      </c>
      <c r="O42" s="1" t="str">
        <f>IFERROR(__xludf.DUMMYFUNCTION("""COMPUTED_VALUE"""),"Брюсов В.Я. – «Ассаргадон»")</f>
        <v>Брюсов В.Я. – «Ассаргадон»</v>
      </c>
      <c r="P42" s="1">
        <f>IFERROR(__xludf.DUMMYFUNCTION("""COMPUTED_VALUE"""),749.0)</f>
        <v>749</v>
      </c>
      <c r="Q42" s="1" t="str">
        <f>IFERROR(__xludf.DUMMYFUNCTION("""COMPUTED_VALUE"""),"Есенин С.А. ""Спит ковыль. Равнина дорогая..."": анализ произведения")</f>
        <v>Есенин С.А. "Спит ковыль. Равнина дорогая...": анализ произведения</v>
      </c>
      <c r="R42" s="1">
        <f>IFERROR(__xludf.DUMMYFUNCTION("""COMPUTED_VALUE"""),841.0)</f>
        <v>841</v>
      </c>
      <c r="S42" s="1"/>
      <c r="T42" s="1"/>
      <c r="U42" s="1" t="str">
        <f>IFERROR(__xludf.DUMMYFUNCTION("""COMPUTED_VALUE"""),"Твардовский А.Т. ""Памяти матери"": анализ произведения")</f>
        <v>Твардовский А.Т. "Памяти матери": анализ произведения</v>
      </c>
      <c r="V42" s="1">
        <f>IFERROR(__xludf.DUMMYFUNCTION("""COMPUTED_VALUE"""),1041.0)</f>
        <v>1041</v>
      </c>
      <c r="W42" s="1" t="str">
        <f>IFERROR(__xludf.DUMMYFUNCTION("""COMPUTED_VALUE"""),"Слуцкий Б.А. ")</f>
        <v>Слуцкий Б.А. </v>
      </c>
      <c r="X42" s="1">
        <f>IFERROR(__xludf.DUMMYFUNCTION("""COMPUTED_VALUE"""),1154.0)</f>
        <v>1154</v>
      </c>
      <c r="Y42" s="1" t="str">
        <f>IFERROR(__xludf.DUMMYFUNCTION("""COMPUTED_VALUE"""),"А. Рембо")</f>
        <v>А. Рембо</v>
      </c>
      <c r="Z42" s="1">
        <f>IFERROR(__xludf.DUMMYFUNCTION("""COMPUTED_VALUE"""),1241.0)</f>
        <v>1241</v>
      </c>
    </row>
    <row r="43">
      <c r="A43" s="1" t="str">
        <f>IFERROR(__xludf.DUMMYFUNCTION("""COMPUTED_VALUE"""),"Лирический герой")</f>
        <v>Лирический герой</v>
      </c>
      <c r="B43" s="1">
        <f>IFERROR(__xludf.DUMMYFUNCTION("""COMPUTED_VALUE"""),42.0)</f>
        <v>42</v>
      </c>
      <c r="C43" s="1" t="str">
        <f>IFERROR(__xludf.DUMMYFUNCTION("""COMPUTED_VALUE"""),"Образ рассказчика-повествователя в повести  – ""Бедная Лиза""")</f>
        <v>Образ рассказчика-повествователя в повести  – "Бедная Лиза"</v>
      </c>
      <c r="D43" s="1">
        <f>IFERROR(__xludf.DUMMYFUNCTION("""COMPUTED_VALUE"""),142.0)</f>
        <v>142</v>
      </c>
      <c r="E43" s="1" t="str">
        <f>IFERROR(__xludf.DUMMYFUNCTION("""COMPUTED_VALUE"""),"Динамика «Выстрел»")</f>
        <v>Динамика «Выстрел»</v>
      </c>
      <c r="F43" s="1">
        <f>IFERROR(__xludf.DUMMYFUNCTION("""COMPUTED_VALUE"""),242.0)</f>
        <v>242</v>
      </c>
      <c r="G43" s="1" t="str">
        <f>IFERROR(__xludf.DUMMYFUNCTION("""COMPUTED_VALUE"""),"Конфликт «Мцыри»")</f>
        <v>Конфликт «Мцыри»</v>
      </c>
      <c r="H43" s="1">
        <f>IFERROR(__xludf.DUMMYFUNCTION("""COMPUTED_VALUE"""),342.0)</f>
        <v>342</v>
      </c>
      <c r="I43" s="1" t="str">
        <f>IFERROR(__xludf.DUMMYFUNCTION("""COMPUTED_VALUE"""),"Савел Прокофьевич Дикой")</f>
        <v>Савел Прокофьевич Дикой</v>
      </c>
      <c r="J43" s="1">
        <f>IFERROR(__xludf.DUMMYFUNCTION("""COMPUTED_VALUE"""),442.0)</f>
        <v>442</v>
      </c>
      <c r="K43" s="1" t="str">
        <f>IFERROR(__xludf.DUMMYFUNCTION("""COMPUTED_VALUE"""),"Идея «Кому на Руси жить хорошо»")</f>
        <v>Идея «Кому на Руси жить хорошо»</v>
      </c>
      <c r="L43" s="1">
        <f>IFERROR(__xludf.DUMMYFUNCTION("""COMPUTED_VALUE"""),542.0)</f>
        <v>542</v>
      </c>
      <c r="M43" s="1" t="str">
        <f>IFERROR(__xludf.DUMMYFUNCTION("""COMPUTED_VALUE"""),"Теория Раскольникова")</f>
        <v>Теория Раскольникова</v>
      </c>
      <c r="N43" s="1">
        <f>IFERROR(__xludf.DUMMYFUNCTION("""COMPUTED_VALUE"""),642.0)</f>
        <v>642</v>
      </c>
      <c r="O43" s="1" t="str">
        <f>IFERROR(__xludf.DUMMYFUNCTION("""COMPUTED_VALUE"""),"Брюсов В.Я. – «Грядущие гунны»")</f>
        <v>Брюсов В.Я. – «Грядущие гунны»</v>
      </c>
      <c r="P43" s="1">
        <f>IFERROR(__xludf.DUMMYFUNCTION("""COMPUTED_VALUE"""),750.0)</f>
        <v>750</v>
      </c>
      <c r="Q43" s="1" t="str">
        <f>IFERROR(__xludf.DUMMYFUNCTION("""COMPUTED_VALUE"""),"Есенин С.А. ""Шаганэ ты моя, Шаганэ..."": анализ произведения")</f>
        <v>Есенин С.А. "Шаганэ ты моя, Шаганэ...": анализ произведения</v>
      </c>
      <c r="R43" s="1">
        <f>IFERROR(__xludf.DUMMYFUNCTION("""COMPUTED_VALUE"""),842.0)</f>
        <v>842</v>
      </c>
      <c r="S43" s="1"/>
      <c r="T43" s="1"/>
      <c r="U43" s="1" t="str">
        <f>IFERROR(__xludf.DUMMYFUNCTION("""COMPUTED_VALUE"""),"Твардовский А.Т. ""Я знаю, никакой моей вины..."": анализ произведения")</f>
        <v>Твардовский А.Т. "Я знаю, никакой моей вины...": анализ произведения</v>
      </c>
      <c r="V43" s="1">
        <f>IFERROR(__xludf.DUMMYFUNCTION("""COMPUTED_VALUE"""),1042.0)</f>
        <v>1042</v>
      </c>
      <c r="W43" s="1" t="str">
        <f>IFERROR(__xludf.DUMMYFUNCTION("""COMPUTED_VALUE"""),"Соколов В.Н. ")</f>
        <v>Соколов В.Н. </v>
      </c>
      <c r="X43" s="1">
        <f>IFERROR(__xludf.DUMMYFUNCTION("""COMPUTED_VALUE"""),1155.0)</f>
        <v>1155</v>
      </c>
      <c r="Y43" s="1" t="str">
        <f>IFERROR(__xludf.DUMMYFUNCTION("""COMPUTED_VALUE"""),"Р.М. Рильке")</f>
        <v>Р.М. Рильке</v>
      </c>
      <c r="Z43" s="1">
        <f>IFERROR(__xludf.DUMMYFUNCTION("""COMPUTED_VALUE"""),1242.0)</f>
        <v>1242</v>
      </c>
    </row>
    <row r="44">
      <c r="A44" s="1" t="str">
        <f>IFERROR(__xludf.DUMMYFUNCTION("""COMPUTED_VALUE"""),"Система персонажей")</f>
        <v>Система персонажей</v>
      </c>
      <c r="B44" s="1">
        <f>IFERROR(__xludf.DUMMYFUNCTION("""COMPUTED_VALUE"""),43.0)</f>
        <v>43</v>
      </c>
      <c r="C44" s="1" t="str">
        <f>IFERROR(__xludf.DUMMYFUNCTION("""COMPUTED_VALUE"""),"Тема любви и социального неравенства  – ""Бедная Лиза""")</f>
        <v>Тема любви и социального неравенства  – "Бедная Лиза"</v>
      </c>
      <c r="D44" s="1">
        <f>IFERROR(__xludf.DUMMYFUNCTION("""COMPUTED_VALUE"""),143.0)</f>
        <v>143</v>
      </c>
      <c r="E44" s="1" t="str">
        <f>IFERROR(__xludf.DUMMYFUNCTION("""COMPUTED_VALUE"""),"Критика «Выстрел»")</f>
        <v>Критика «Выстрел»</v>
      </c>
      <c r="F44" s="1">
        <f>IFERROR(__xludf.DUMMYFUNCTION("""COMPUTED_VALUE"""),243.0)</f>
        <v>243</v>
      </c>
      <c r="G44" s="1" t="str">
        <f>IFERROR(__xludf.DUMMYFUNCTION("""COMPUTED_VALUE"""),"Природа в поэме «Мцыри»")</f>
        <v>Природа в поэме «Мцыри»</v>
      </c>
      <c r="H44" s="1">
        <f>IFERROR(__xludf.DUMMYFUNCTION("""COMPUTED_VALUE"""),343.0)</f>
        <v>343</v>
      </c>
      <c r="I44" s="1" t="str">
        <f>IFERROR(__xludf.DUMMYFUNCTION("""COMPUTED_VALUE"""),"Борис Григорьевич")</f>
        <v>Борис Григорьевич</v>
      </c>
      <c r="J44" s="1">
        <f>IFERROR(__xludf.DUMMYFUNCTION("""COMPUTED_VALUE"""),443.0)</f>
        <v>443</v>
      </c>
      <c r="K44" s="1" t="str">
        <f>IFERROR(__xludf.DUMMYFUNCTION("""COMPUTED_VALUE"""),"Проблематика «Кому на Руси жить хорошо»")</f>
        <v>Проблематика «Кому на Руси жить хорошо»</v>
      </c>
      <c r="L44" s="1">
        <f>IFERROR(__xludf.DUMMYFUNCTION("""COMPUTED_VALUE"""),543.0)</f>
        <v>543</v>
      </c>
      <c r="M44" s="1" t="str">
        <f>IFERROR(__xludf.DUMMYFUNCTION("""COMPUTED_VALUE"""),"Истоки преступления Раскольникова")</f>
        <v>Истоки преступления Раскольникова</v>
      </c>
      <c r="N44" s="1">
        <f>IFERROR(__xludf.DUMMYFUNCTION("""COMPUTED_VALUE"""),643.0)</f>
        <v>643</v>
      </c>
      <c r="O44" s="1" t="str">
        <f>IFERROR(__xludf.DUMMYFUNCTION("""COMPUTED_VALUE"""),"Брюсов В.Я. – «Есть что-то позорное в мощи природы...»")</f>
        <v>Брюсов В.Я. – «Есть что-то позорное в мощи природы...»</v>
      </c>
      <c r="P44" s="1">
        <f>IFERROR(__xludf.DUMMYFUNCTION("""COMPUTED_VALUE"""),751.0)</f>
        <v>751</v>
      </c>
      <c r="Q44" s="1" t="str">
        <f>IFERROR(__xludf.DUMMYFUNCTION("""COMPUTED_VALUE"""),"Есенин С.А. ""Береза"": жанр, тема, худ. средства")</f>
        <v>Есенин С.А. "Береза": жанр, тема, худ. средства</v>
      </c>
      <c r="R44" s="1">
        <f>IFERROR(__xludf.DUMMYFUNCTION("""COMPUTED_VALUE"""),843.0)</f>
        <v>843</v>
      </c>
      <c r="S44" s="1"/>
      <c r="T44" s="1"/>
      <c r="U44" s="1" t="str">
        <f>IFERROR(__xludf.DUMMYFUNCTION("""COMPUTED_VALUE"""),"Твардовский А.Т. ""Василий Тёркин"": особенности произведения")</f>
        <v>Твардовский А.Т. "Василий Тёркин": особенности произведения</v>
      </c>
      <c r="V44" s="1">
        <f>IFERROR(__xludf.DUMMYFUNCTION("""COMPUTED_VALUE"""),1043.0)</f>
        <v>1043</v>
      </c>
      <c r="W44" s="1" t="str">
        <f>IFERROR(__xludf.DUMMYFUNCTION("""COMPUTED_VALUE""")," Солоухин В.А.")</f>
        <v> Солоухин В.А.</v>
      </c>
      <c r="X44" s="1">
        <f>IFERROR(__xludf.DUMMYFUNCTION("""COMPUTED_VALUE"""),1156.0)</f>
        <v>1156</v>
      </c>
      <c r="Y44" s="1" t="str">
        <f>IFERROR(__xludf.DUMMYFUNCTION("""COMPUTED_VALUE"""),"У. Шекспир*")</f>
        <v>У. Шекспир*</v>
      </c>
      <c r="Z44" s="1">
        <f>IFERROR(__xludf.DUMMYFUNCTION("""COMPUTED_VALUE"""),1243.0)</f>
        <v>1243</v>
      </c>
    </row>
    <row r="45">
      <c r="A45" s="1" t="str">
        <f>IFERROR(__xludf.DUMMYFUNCTION("""COMPUTED_VALUE"""),"Интерьер")</f>
        <v>Интерьер</v>
      </c>
      <c r="B45" s="1">
        <f>IFERROR(__xludf.DUMMYFUNCTION("""COMPUTED_VALUE"""),44.0)</f>
        <v>44</v>
      </c>
      <c r="C45" s="1" t="str">
        <f>IFERROR(__xludf.DUMMYFUNCTION("""COMPUTED_VALUE"""),"Мотив белизны, чистоты и свежести  – ""Бедная Лиза""")</f>
        <v>Мотив белизны, чистоты и свежести  – "Бедная Лиза"</v>
      </c>
      <c r="D45" s="1">
        <f>IFERROR(__xludf.DUMMYFUNCTION("""COMPUTED_VALUE"""),144.0)</f>
        <v>144</v>
      </c>
      <c r="E45" s="1" t="str">
        <f>IFERROR(__xludf.DUMMYFUNCTION("""COMPUTED_VALUE"""),"Пушкин А.С. — «Станционный смотритель»: краткие сведения")</f>
        <v>Пушкин А.С. — «Станционный смотритель»: краткие сведения</v>
      </c>
      <c r="F45" s="1">
        <f>IFERROR(__xludf.DUMMYFUNCTION("""COMPUTED_VALUE"""),244.0)</f>
        <v>244</v>
      </c>
      <c r="G45" s="1" t="str">
        <f>IFERROR(__xludf.DUMMYFUNCTION("""COMPUTED_VALUE"""),"Образ Мцыри")</f>
        <v>Образ Мцыри</v>
      </c>
      <c r="H45" s="1">
        <f>IFERROR(__xludf.DUMMYFUNCTION("""COMPUTED_VALUE"""),344.0)</f>
        <v>344</v>
      </c>
      <c r="I45" s="1" t="str">
        <f>IFERROR(__xludf.DUMMYFUNCTION("""COMPUTED_VALUE"""),"Феклуша")</f>
        <v>Феклуша</v>
      </c>
      <c r="J45" s="1">
        <f>IFERROR(__xludf.DUMMYFUNCTION("""COMPUTED_VALUE"""),444.0)</f>
        <v>444</v>
      </c>
      <c r="K45" s="1" t="str">
        <f>IFERROR(__xludf.DUMMYFUNCTION("""COMPUTED_VALUE"""),"История создания «Кому на Руси жить хорошо»")</f>
        <v>История создания «Кому на Руси жить хорошо»</v>
      </c>
      <c r="L45" s="1">
        <f>IFERROR(__xludf.DUMMYFUNCTION("""COMPUTED_VALUE"""),544.0)</f>
        <v>544</v>
      </c>
      <c r="M45" s="1" t="str">
        <f>IFERROR(__xludf.DUMMYFUNCTION("""COMPUTED_VALUE"""),"Композиция ""Преступление и наказание""")</f>
        <v>Композиция "Преступление и наказание"</v>
      </c>
      <c r="N45" s="1">
        <f>IFERROR(__xludf.DUMMYFUNCTION("""COMPUTED_VALUE"""),644.0)</f>
        <v>644</v>
      </c>
      <c r="O45" s="1" t="str">
        <f>IFERROR(__xludf.DUMMYFUNCTION("""COMPUTED_VALUE"""),"Брюсов В.Я. – «Неколебимой истине...» ")</f>
        <v>Брюсов В.Я. – «Неколебимой истине...» </v>
      </c>
      <c r="P45" s="1">
        <f>IFERROR(__xludf.DUMMYFUNCTION("""COMPUTED_VALUE"""),752.0)</f>
        <v>752</v>
      </c>
      <c r="Q45" s="1" t="str">
        <f>IFERROR(__xludf.DUMMYFUNCTION("""COMPUTED_VALUE"""),"Есенин С.А. ""Пороша"": жанр, тема, худ. средства")</f>
        <v>Есенин С.А. "Пороша": жанр, тема, худ. средства</v>
      </c>
      <c r="R45" s="1">
        <f>IFERROR(__xludf.DUMMYFUNCTION("""COMPUTED_VALUE"""),844.0)</f>
        <v>844</v>
      </c>
      <c r="S45" s="1"/>
      <c r="T45" s="1"/>
      <c r="U45" s="1" t="str">
        <f>IFERROR(__xludf.DUMMYFUNCTION("""COMPUTED_VALUE"""),"Темы ""Василий Тёркин""")</f>
        <v>Темы "Василий Тёркин"</v>
      </c>
      <c r="V45" s="1">
        <f>IFERROR(__xludf.DUMMYFUNCTION("""COMPUTED_VALUE"""),1044.0)</f>
        <v>1044</v>
      </c>
      <c r="W45" s="1" t="str">
        <f>IFERROR(__xludf.DUMMYFUNCTION("""COMPUTED_VALUE"""),"Тарковский А.А. ")</f>
        <v>Тарковский А.А. </v>
      </c>
      <c r="X45" s="1">
        <f>IFERROR(__xludf.DUMMYFUNCTION("""COMPUTED_VALUE"""),1157.0)</f>
        <v>1157</v>
      </c>
      <c r="Y45" s="1" t="str">
        <f>IFERROR(__xludf.DUMMYFUNCTION("""COMPUTED_VALUE"""),"Т.С. Элиот")</f>
        <v>Т.С. Элиот</v>
      </c>
      <c r="Z45" s="1">
        <f>IFERROR(__xludf.DUMMYFUNCTION("""COMPUTED_VALUE"""),1244.0)</f>
        <v>1244</v>
      </c>
    </row>
    <row r="46">
      <c r="A46" s="1" t="str">
        <f>IFERROR(__xludf.DUMMYFUNCTION("""COMPUTED_VALUE"""),"Портрет")</f>
        <v>Портрет</v>
      </c>
      <c r="B46" s="1">
        <f>IFERROR(__xludf.DUMMYFUNCTION("""COMPUTED_VALUE"""),45.0)</f>
        <v>45</v>
      </c>
      <c r="C46" s="1" t="str">
        <f>IFERROR(__xludf.DUMMYFUNCTION("""COMPUTED_VALUE"""),"Мотив денег  – ""Бедная Лиза""")</f>
        <v>Мотив денег  – "Бедная Лиза"</v>
      </c>
      <c r="D46" s="1">
        <f>IFERROR(__xludf.DUMMYFUNCTION("""COMPUTED_VALUE"""),145.0)</f>
        <v>145</v>
      </c>
      <c r="E46" s="1" t="str">
        <f>IFERROR(__xludf.DUMMYFUNCTION("""COMPUTED_VALUE"""),"Сюжет «Станционный смотритель»")</f>
        <v>Сюжет «Станционный смотритель»</v>
      </c>
      <c r="F46" s="1">
        <f>IFERROR(__xludf.DUMMYFUNCTION("""COMPUTED_VALUE"""),245.0)</f>
        <v>245</v>
      </c>
      <c r="G46" s="1" t="str">
        <f>IFERROR(__xludf.DUMMYFUNCTION("""COMPUTED_VALUE"""),"Лермонтов М.Ю. — «Герой нашего времени»: особенности произведения")</f>
        <v>Лермонтов М.Ю. — «Герой нашего времени»: особенности произведения</v>
      </c>
      <c r="H46" s="1">
        <f>IFERROR(__xludf.DUMMYFUNCTION("""COMPUTED_VALUE"""),345.0)</f>
        <v>345</v>
      </c>
      <c r="I46" s="1" t="str">
        <f>IFERROR(__xludf.DUMMYFUNCTION("""COMPUTED_VALUE"""),"Иван Кудряш")</f>
        <v>Иван Кудряш</v>
      </c>
      <c r="J46" s="1">
        <f>IFERROR(__xludf.DUMMYFUNCTION("""COMPUTED_VALUE"""),445.0)</f>
        <v>445</v>
      </c>
      <c r="K46" s="1" t="str">
        <f>IFERROR(__xludf.DUMMYFUNCTION("""COMPUTED_VALUE"""),"Композиция и сюжет «Кому на Руси жить хорошо»")</f>
        <v>Композиция и сюжет «Кому на Руси жить хорошо»</v>
      </c>
      <c r="L46" s="1">
        <f>IFERROR(__xludf.DUMMYFUNCTION("""COMPUTED_VALUE"""),545.0)</f>
        <v>545</v>
      </c>
      <c r="M46" s="1" t="str">
        <f>IFERROR(__xludf.DUMMYFUNCTION("""COMPUTED_VALUE"""),"Сюжет ""Преступление и наказание""")</f>
        <v>Сюжет "Преступление и наказание"</v>
      </c>
      <c r="N46" s="1">
        <f>IFERROR(__xludf.DUMMYFUNCTION("""COMPUTED_VALUE"""),645.0)</f>
        <v>645</v>
      </c>
      <c r="O46" s="1" t="str">
        <f>IFERROR(__xludf.DUMMYFUNCTION("""COMPUTED_VALUE"""),"Брюсов В.Я. – «Каменщик»")</f>
        <v>Брюсов В.Я. – «Каменщик»</v>
      </c>
      <c r="P46" s="1">
        <f>IFERROR(__xludf.DUMMYFUNCTION("""COMPUTED_VALUE"""),753.0)</f>
        <v>753</v>
      </c>
      <c r="Q46" s="1" t="str">
        <f>IFERROR(__xludf.DUMMYFUNCTION("""COMPUTED_VALUE"""),"Есенин С.А. ""Край любимый! Сердцу снятся..."": жанр, тема, худ. средства")</f>
        <v>Есенин С.А. "Край любимый! Сердцу снятся...": жанр, тема, худ. средства</v>
      </c>
      <c r="R46" s="1">
        <f>IFERROR(__xludf.DUMMYFUNCTION("""COMPUTED_VALUE"""),845.0)</f>
        <v>845</v>
      </c>
      <c r="S46" s="1"/>
      <c r="T46" s="1"/>
      <c r="U46" s="1" t="str">
        <f>IFERROR(__xludf.DUMMYFUNCTION("""COMPUTED_VALUE"""),"Идеи ""Василий Тёркин""")</f>
        <v>Идеи "Василий Тёркин"</v>
      </c>
      <c r="V46" s="1">
        <f>IFERROR(__xludf.DUMMYFUNCTION("""COMPUTED_VALUE"""),1045.0)</f>
        <v>1045</v>
      </c>
      <c r="W46" s="1" t="str">
        <f>IFERROR(__xludf.DUMMYFUNCTION("""COMPUTED_VALUE"""),"Драматургия второй половины ХХ века")</f>
        <v>Драматургия второй половины ХХ века</v>
      </c>
      <c r="X46" s="1">
        <f>IFERROR(__xludf.DUMMYFUNCTION("""COMPUTED_VALUE"""),1158.0)</f>
        <v>1158</v>
      </c>
      <c r="Y46" s="1" t="str">
        <f>IFERROR(__xludf.DUMMYFUNCTION("""COMPUTED_VALUE"""),"Анализ прозаического текста")</f>
        <v>Анализ прозаического текста</v>
      </c>
      <c r="Z46" s="1">
        <f>IFERROR(__xludf.DUMMYFUNCTION("""COMPUTED_VALUE"""),1245.0)</f>
        <v>1245</v>
      </c>
    </row>
    <row r="47">
      <c r="A47" s="1" t="str">
        <f>IFERROR(__xludf.DUMMYFUNCTION("""COMPUTED_VALUE"""),"Пейзаж")</f>
        <v>Пейзаж</v>
      </c>
      <c r="B47" s="1">
        <f>IFERROR(__xludf.DUMMYFUNCTION("""COMPUTED_VALUE"""),46.0)</f>
        <v>46</v>
      </c>
      <c r="C47" s="1" t="str">
        <f>IFERROR(__xludf.DUMMYFUNCTION("""COMPUTED_VALUE"""),"Образ Лизы")</f>
        <v>Образ Лизы</v>
      </c>
      <c r="D47" s="1">
        <f>IFERROR(__xludf.DUMMYFUNCTION("""COMPUTED_VALUE"""),146.0)</f>
        <v>146</v>
      </c>
      <c r="E47" s="1" t="str">
        <f>IFERROR(__xludf.DUMMYFUNCTION("""COMPUTED_VALUE"""),"Система образов «Станционный смотритель»")</f>
        <v>Система образов «Станционный смотритель»</v>
      </c>
      <c r="F47" s="1">
        <f>IFERROR(__xludf.DUMMYFUNCTION("""COMPUTED_VALUE"""),246.0)</f>
        <v>246</v>
      </c>
      <c r="G47" s="1" t="str">
        <f>IFERROR(__xludf.DUMMYFUNCTION("""COMPUTED_VALUE"""),"Темы «Герой нашего времени»")</f>
        <v>Темы «Герой нашего времени»</v>
      </c>
      <c r="H47" s="1">
        <f>IFERROR(__xludf.DUMMYFUNCTION("""COMPUTED_VALUE"""),346.0)</f>
        <v>346</v>
      </c>
      <c r="I47" s="1" t="str">
        <f>IFERROR(__xludf.DUMMYFUNCTION("""COMPUTED_VALUE""")," Островский А.Н. – «Бесприданница»")</f>
        <v> Островский А.Н. – «Бесприданница»</v>
      </c>
      <c r="J47" s="1">
        <f>IFERROR(__xludf.DUMMYFUNCTION("""COMPUTED_VALUE"""),446.0)</f>
        <v>446</v>
      </c>
      <c r="K47" s="1" t="str">
        <f>IFERROR(__xludf.DUMMYFUNCTION("""COMPUTED_VALUE"""),"Роль песен в поэме «Кому на Руси жить хорошо»")</f>
        <v>Роль песен в поэме «Кому на Руси жить хорошо»</v>
      </c>
      <c r="L47" s="1">
        <f>IFERROR(__xludf.DUMMYFUNCTION("""COMPUTED_VALUE"""),546.0)</f>
        <v>546</v>
      </c>
      <c r="M47" s="1" t="str">
        <f>IFERROR(__xludf.DUMMYFUNCTION("""COMPUTED_VALUE"""),"Полифонизм Достоевского  ""Преступление и наказание""")</f>
        <v>Полифонизм Достоевского  "Преступление и наказание"</v>
      </c>
      <c r="N47" s="1">
        <f>IFERROR(__xludf.DUMMYFUNCTION("""COMPUTED_VALUE"""),646.0)</f>
        <v>646</v>
      </c>
      <c r="O47" s="1" t="str">
        <f>IFERROR(__xludf.DUMMYFUNCTION("""COMPUTED_VALUE"""),"Брюсов В.Я. –  «Творчество»")</f>
        <v>Брюсов В.Я. –  «Творчество»</v>
      </c>
      <c r="P47" s="1">
        <f>IFERROR(__xludf.DUMMYFUNCTION("""COMPUTED_VALUE"""),754.0)</f>
        <v>754</v>
      </c>
      <c r="Q47" s="1" t="str">
        <f>IFERROR(__xludf.DUMMYFUNCTION("""COMPUTED_VALUE"""),"Есенин С.А. ""Я покинул родимый дом..."": жанр, тема, худ. средства")</f>
        <v>Есенин С.А. "Я покинул родимый дом...": жанр, тема, худ. средства</v>
      </c>
      <c r="R47" s="1">
        <f>IFERROR(__xludf.DUMMYFUNCTION("""COMPUTED_VALUE"""),846.0)</f>
        <v>846</v>
      </c>
      <c r="S47" s="1"/>
      <c r="T47" s="1"/>
      <c r="U47" s="1" t="str">
        <f>IFERROR(__xludf.DUMMYFUNCTION("""COMPUTED_VALUE"""),"Глава ""Переправа"" ""Василий Тёркин""")</f>
        <v>Глава "Переправа" "Василий Тёркин"</v>
      </c>
      <c r="V47" s="1">
        <f>IFERROR(__xludf.DUMMYFUNCTION("""COMPUTED_VALUE"""),1046.0)</f>
        <v>1046</v>
      </c>
      <c r="W47" s="1" t="str">
        <f>IFERROR(__xludf.DUMMYFUNCTION("""COMPUTED_VALUE"""),"Арбузов А.Н. ")</f>
        <v>Арбузов А.Н. </v>
      </c>
      <c r="X47" s="1">
        <f>IFERROR(__xludf.DUMMYFUNCTION("""COMPUTED_VALUE"""),1159.0)</f>
        <v>1159</v>
      </c>
      <c r="Y47" s="1" t="str">
        <f>IFERROR(__xludf.DUMMYFUNCTION("""COMPUTED_VALUE"""),"Анализ лирического текста")</f>
        <v>Анализ лирического текста</v>
      </c>
      <c r="Z47" s="1">
        <f>IFERROR(__xludf.DUMMYFUNCTION("""COMPUTED_VALUE"""),1246.0)</f>
        <v>1246</v>
      </c>
    </row>
    <row r="48">
      <c r="A48" s="1" t="str">
        <f>IFERROR(__xludf.DUMMYFUNCTION("""COMPUTED_VALUE"""),"Виды пейзажа")</f>
        <v>Виды пейзажа</v>
      </c>
      <c r="B48" s="1">
        <f>IFERROR(__xludf.DUMMYFUNCTION("""COMPUTED_VALUE"""),47.0)</f>
        <v>47</v>
      </c>
      <c r="C48" s="1" t="str">
        <f>IFERROR(__xludf.DUMMYFUNCTION("""COMPUTED_VALUE"""),"Образ матери Лизы")</f>
        <v>Образ матери Лизы</v>
      </c>
      <c r="D48" s="1">
        <f>IFERROR(__xludf.DUMMYFUNCTION("""COMPUTED_VALUE"""),147.0)</f>
        <v>147</v>
      </c>
      <c r="E48" s="1" t="str">
        <f>IFERROR(__xludf.DUMMYFUNCTION("""COMPUTED_VALUE"""),"Темы «Станционный смотритель»")</f>
        <v>Темы «Станционный смотритель»</v>
      </c>
      <c r="F48" s="1">
        <f>IFERROR(__xludf.DUMMYFUNCTION("""COMPUTED_VALUE"""),247.0)</f>
        <v>247</v>
      </c>
      <c r="G48" s="1" t="str">
        <f>IFERROR(__xludf.DUMMYFUNCTION("""COMPUTED_VALUE"""),"Идея «Герой нашего времени»")</f>
        <v>Идея «Герой нашего времени»</v>
      </c>
      <c r="H48" s="1">
        <f>IFERROR(__xludf.DUMMYFUNCTION("""COMPUTED_VALUE"""),347.0)</f>
        <v>347</v>
      </c>
      <c r="I48" s="1" t="str">
        <f>IFERROR(__xludf.DUMMYFUNCTION("""COMPUTED_VALUE"""),"Темы «Бесприданница»")</f>
        <v>Темы «Бесприданница»</v>
      </c>
      <c r="J48" s="1">
        <f>IFERROR(__xludf.DUMMYFUNCTION("""COMPUTED_VALUE"""),447.0)</f>
        <v>447</v>
      </c>
      <c r="K48" s="1" t="str">
        <f>IFERROR(__xludf.DUMMYFUNCTION("""COMPUTED_VALUE"""),"Система образов «Кому на Руси жить хорошо»")</f>
        <v>Система образов «Кому на Руси жить хорошо»</v>
      </c>
      <c r="L48" s="1">
        <f>IFERROR(__xludf.DUMMYFUNCTION("""COMPUTED_VALUE"""),547.0)</f>
        <v>547</v>
      </c>
      <c r="M48" s="1" t="str">
        <f>IFERROR(__xludf.DUMMYFUNCTION("""COMPUTED_VALUE"""),"Хронотоп романа  ""Преступление и наказание""")</f>
        <v>Хронотоп романа  "Преступление и наказание"</v>
      </c>
      <c r="N48" s="1">
        <f>IFERROR(__xludf.DUMMYFUNCTION("""COMPUTED_VALUE"""),647.0)</f>
        <v>647</v>
      </c>
      <c r="O48" s="1" t="str">
        <f>IFERROR(__xludf.DUMMYFUNCTION("""COMPUTED_VALUE"""),"Брюсов В.Я. – «Родной язык»")</f>
        <v>Брюсов В.Я. – «Родной язык»</v>
      </c>
      <c r="P48" s="1">
        <f>IFERROR(__xludf.DUMMYFUNCTION("""COMPUTED_VALUE"""),755.0)</f>
        <v>755</v>
      </c>
      <c r="Q48" s="1" t="str">
        <f>IFERROR(__xludf.DUMMYFUNCTION("""COMPUTED_VALUE"""),"Есенин С.А. ""Не жалею, не зову, не плачу..."": анализ произведения")</f>
        <v>Есенин С.А. "Не жалею, не зову, не плачу...": анализ произведения</v>
      </c>
      <c r="R48" s="1">
        <f>IFERROR(__xludf.DUMMYFUNCTION("""COMPUTED_VALUE"""),847.0)</f>
        <v>847</v>
      </c>
      <c r="S48" s="1"/>
      <c r="T48" s="1"/>
      <c r="U48" s="1" t="str">
        <f>IFERROR(__xludf.DUMMYFUNCTION("""COMPUTED_VALUE"""),"Глава ""Два солдата"" ""Василий Тёркин""")</f>
        <v>Глава "Два солдата" "Василий Тёркин"</v>
      </c>
      <c r="V48" s="1">
        <f>IFERROR(__xludf.DUMMYFUNCTION("""COMPUTED_VALUE"""),1047.0)</f>
        <v>1047</v>
      </c>
      <c r="W48" s="1" t="str">
        <f>IFERROR(__xludf.DUMMYFUNCTION("""COMPUTED_VALUE"""),"Вампилов А.В. ")</f>
        <v>Вампилов А.В. </v>
      </c>
      <c r="X48" s="1">
        <f>IFERROR(__xludf.DUMMYFUNCTION("""COMPUTED_VALUE"""),1160.0)</f>
        <v>1160</v>
      </c>
      <c r="Y48" s="1" t="str">
        <f>IFERROR(__xludf.DUMMYFUNCTION("""COMPUTED_VALUE"""),"Навык сопоставления двух произведений")</f>
        <v>Навык сопоставления двух произведений</v>
      </c>
      <c r="Z48" s="1">
        <f>IFERROR(__xludf.DUMMYFUNCTION("""COMPUTED_VALUE"""),1247.0)</f>
        <v>1247</v>
      </c>
    </row>
    <row r="49">
      <c r="A49" s="1" t="str">
        <f>IFERROR(__xludf.DUMMYFUNCTION("""COMPUTED_VALUE"""),"Говорящая фамилия")</f>
        <v>Говорящая фамилия</v>
      </c>
      <c r="B49" s="1">
        <f>IFERROR(__xludf.DUMMYFUNCTION("""COMPUTED_VALUE"""),48.0)</f>
        <v>48</v>
      </c>
      <c r="C49" s="1" t="str">
        <f>IFERROR(__xludf.DUMMYFUNCTION("""COMPUTED_VALUE"""),"Образ Эраста")</f>
        <v>Образ Эраста</v>
      </c>
      <c r="D49" s="1">
        <f>IFERROR(__xludf.DUMMYFUNCTION("""COMPUTED_VALUE"""),148.0)</f>
        <v>148</v>
      </c>
      <c r="E49" s="1" t="str">
        <f>IFERROR(__xludf.DUMMYFUNCTION("""COMPUTED_VALUE"""),"Статья Есаулова И.А.")</f>
        <v>Статья Есаулова И.А.</v>
      </c>
      <c r="F49" s="1">
        <f>IFERROR(__xludf.DUMMYFUNCTION("""COMPUTED_VALUE"""),248.0)</f>
        <v>248</v>
      </c>
      <c r="G49" s="1" t="str">
        <f>IFERROR(__xludf.DUMMYFUNCTION("""COMPUTED_VALUE"""),"Особенности композиции «Герой нашего времени»")</f>
        <v>Особенности композиции «Герой нашего времени»</v>
      </c>
      <c r="H49" s="1">
        <f>IFERROR(__xludf.DUMMYFUNCTION("""COMPUTED_VALUE"""),348.0)</f>
        <v>348</v>
      </c>
      <c r="I49" s="1" t="str">
        <f>IFERROR(__xludf.DUMMYFUNCTION("""COMPUTED_VALUE"""),"Идея «Бесприданница»")</f>
        <v>Идея «Бесприданница»</v>
      </c>
      <c r="J49" s="1">
        <f>IFERROR(__xludf.DUMMYFUNCTION("""COMPUTED_VALUE"""),448.0)</f>
        <v>448</v>
      </c>
      <c r="K49" s="1" t="str">
        <f>IFERROR(__xludf.DUMMYFUNCTION("""COMPUTED_VALUE"""),"Яким Нагой")</f>
        <v>Яким Нагой</v>
      </c>
      <c r="L49" s="1">
        <f>IFERROR(__xludf.DUMMYFUNCTION("""COMPUTED_VALUE"""),548.0)</f>
        <v>548</v>
      </c>
      <c r="M49" s="1" t="str">
        <f>IFERROR(__xludf.DUMMYFUNCTION("""COMPUTED_VALUE"""),"Сны Раскольникова")</f>
        <v>Сны Раскольникова</v>
      </c>
      <c r="N49" s="1">
        <f>IFERROR(__xludf.DUMMYFUNCTION("""COMPUTED_VALUE"""),648.0)</f>
        <v>648</v>
      </c>
      <c r="O49" s="1" t="str">
        <f>IFERROR(__xludf.DUMMYFUNCTION("""COMPUTED_VALUE"""),"Брюсов В.Я. – «Юному поэту»")</f>
        <v>Брюсов В.Я. – «Юному поэту»</v>
      </c>
      <c r="P49" s="1">
        <f>IFERROR(__xludf.DUMMYFUNCTION("""COMPUTED_VALUE"""),756.0)</f>
        <v>756</v>
      </c>
      <c r="Q49" s="1" t="str">
        <f>IFERROR(__xludf.DUMMYFUNCTION("""COMPUTED_VALUE"""),"Есенин С.А. ""Русь Советская"": анализ произведения")</f>
        <v>Есенин С.А. "Русь Советская": анализ произведения</v>
      </c>
      <c r="R49" s="1">
        <f>IFERROR(__xludf.DUMMYFUNCTION("""COMPUTED_VALUE"""),848.0)</f>
        <v>848</v>
      </c>
      <c r="S49" s="1"/>
      <c r="T49" s="1"/>
      <c r="U49" s="1" t="str">
        <f>IFERROR(__xludf.DUMMYFUNCTION("""COMPUTED_VALUE"""),"Глава ""Поединок"" ""Василий Тёркин""")</f>
        <v>Глава "Поединок" "Василий Тёркин"</v>
      </c>
      <c r="V49" s="1">
        <f>IFERROR(__xludf.DUMMYFUNCTION("""COMPUTED_VALUE"""),1048.0)</f>
        <v>1048</v>
      </c>
      <c r="W49" s="1" t="str">
        <f>IFERROR(__xludf.DUMMYFUNCTION("""COMPUTED_VALUE"""),"Володин А.М. ")</f>
        <v>Володин А.М. </v>
      </c>
      <c r="X49" s="1">
        <f>IFERROR(__xludf.DUMMYFUNCTION("""COMPUTED_VALUE"""),1161.0)</f>
        <v>1161</v>
      </c>
      <c r="Y49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Z49" s="1">
        <f>IFERROR(__xludf.DUMMYFUNCTION("""COMPUTED_VALUE"""),1248.0)</f>
        <v>1248</v>
      </c>
    </row>
    <row r="50">
      <c r="A50" s="1" t="str">
        <f>IFERROR(__xludf.DUMMYFUNCTION("""COMPUTED_VALUE"""),"Ремарка")</f>
        <v>Ремарка</v>
      </c>
      <c r="B50" s="1">
        <f>IFERROR(__xludf.DUMMYFUNCTION("""COMPUTED_VALUE"""),49.0)</f>
        <v>49</v>
      </c>
      <c r="C50" s="1" t="str">
        <f>IFERROR(__xludf.DUMMYFUNCTION("""COMPUTED_VALUE"""),"Биография Крылова И.А.")</f>
        <v>Биография Крылова И.А.</v>
      </c>
      <c r="D50" s="1">
        <f>IFERROR(__xludf.DUMMYFUNCTION("""COMPUTED_VALUE"""),149.0)</f>
        <v>149</v>
      </c>
      <c r="E50" s="1" t="str">
        <f>IFERROR(__xludf.DUMMYFUNCTION("""COMPUTED_VALUE"""),"Пушкин А.С. — «Капитанская дочка»: краткие сведения")</f>
        <v>Пушкин А.С. — «Капитанская дочка»: краткие сведения</v>
      </c>
      <c r="F50" s="1">
        <f>IFERROR(__xludf.DUMMYFUNCTION("""COMPUTED_VALUE"""),249.0)</f>
        <v>249</v>
      </c>
      <c r="G50" s="1" t="str">
        <f>IFERROR(__xludf.DUMMYFUNCTION("""COMPUTED_VALUE"""),"Белинский В.Г. о «Герое нашего времени»")</f>
        <v>Белинский В.Г. о «Герое нашего времени»</v>
      </c>
      <c r="H50" s="1">
        <f>IFERROR(__xludf.DUMMYFUNCTION("""COMPUTED_VALUE"""),349.0)</f>
        <v>349</v>
      </c>
      <c r="I50" s="1" t="str">
        <f>IFERROR(__xludf.DUMMYFUNCTION("""COMPUTED_VALUE"""),"История создания «Бесприданница»")</f>
        <v>История создания «Бесприданница»</v>
      </c>
      <c r="J50" s="1">
        <f>IFERROR(__xludf.DUMMYFUNCTION("""COMPUTED_VALUE"""),449.0)</f>
        <v>449</v>
      </c>
      <c r="K50" s="1" t="str">
        <f>IFERROR(__xludf.DUMMYFUNCTION("""COMPUTED_VALUE"""),"Ермила Гирин")</f>
        <v>Ермила Гирин</v>
      </c>
      <c r="L50" s="1">
        <f>IFERROR(__xludf.DUMMYFUNCTION("""COMPUTED_VALUE"""),549.0)</f>
        <v>549</v>
      </c>
      <c r="M50" s="1" t="str">
        <f>IFERROR(__xludf.DUMMYFUNCTION("""COMPUTED_VALUE"""),"Система образов ""Преступление и наказание""")</f>
        <v>Система образов "Преступление и наказание"</v>
      </c>
      <c r="N50" s="1">
        <f>IFERROR(__xludf.DUMMYFUNCTION("""COMPUTED_VALUE"""),649.0)</f>
        <v>649</v>
      </c>
      <c r="O50" s="1" t="str">
        <f>IFERROR(__xludf.DUMMYFUNCTION("""COMPUTED_VALUE"""),"
Брюсов В.Я. – «Я»")</f>
        <v>
Брюсов В.Я. – «Я»</v>
      </c>
      <c r="P50" s="1">
        <f>IFERROR(__xludf.DUMMYFUNCTION("""COMPUTED_VALUE"""),757.0)</f>
        <v>757</v>
      </c>
      <c r="Q50" s="1" t="str">
        <f>IFERROR(__xludf.DUMMYFUNCTION("""COMPUTED_VALUE"""),"Есенин С.А. ""О красном вечере задумалась дорога..."": анализ произведения")</f>
        <v>Есенин С.А. "О красном вечере задумалась дорога...": анализ произведения</v>
      </c>
      <c r="R50" s="1">
        <f>IFERROR(__xludf.DUMMYFUNCTION("""COMPUTED_VALUE"""),849.0)</f>
        <v>849</v>
      </c>
      <c r="S50" s="1"/>
      <c r="T50" s="1"/>
      <c r="U50" s="1" t="str">
        <f>IFERROR(__xludf.DUMMYFUNCTION("""COMPUTED_VALUE"""),"Глава ""Смерть и воин"" ""Василий Тёркин""")</f>
        <v>Глава "Смерть и воин" "Василий Тёркин"</v>
      </c>
      <c r="V50" s="1">
        <f>IFERROR(__xludf.DUMMYFUNCTION("""COMPUTED_VALUE"""),1049.0)</f>
        <v>1049</v>
      </c>
      <c r="W50" s="1" t="str">
        <f>IFERROR(__xludf.DUMMYFUNCTION("""COMPUTED_VALUE"""),"Розов В.С.")</f>
        <v>Розов В.С.</v>
      </c>
      <c r="X50" s="1">
        <f>IFERROR(__xludf.DUMMYFUNCTION("""COMPUTED_VALUE"""),1162.0)</f>
        <v>1162</v>
      </c>
      <c r="Y50" s="1" t="str">
        <f>IFERROR(__xludf.DUMMYFUNCTION("""COMPUTED_VALUE"""),"Навык аргументации")</f>
        <v>Навык аргументации</v>
      </c>
      <c r="Z50" s="1">
        <f>IFERROR(__xludf.DUMMYFUNCTION("""COMPUTED_VALUE"""),1249.0)</f>
        <v>1249</v>
      </c>
    </row>
    <row r="51">
      <c r="A51" s="1" t="str">
        <f>IFERROR(__xludf.DUMMYFUNCTION("""COMPUTED_VALUE"""),"Диалог")</f>
        <v>Диалог</v>
      </c>
      <c r="B51" s="1">
        <f>IFERROR(__xludf.DUMMYFUNCTION("""COMPUTED_VALUE"""),50.0)</f>
        <v>50</v>
      </c>
      <c r="C51" s="1" t="str">
        <f>IFERROR(__xludf.DUMMYFUNCTION("""COMPUTED_VALUE"""),"Краткие сведения басни  Крылова И.А.")</f>
        <v>Краткие сведения басни  Крылова И.А.</v>
      </c>
      <c r="D51" s="1">
        <f>IFERROR(__xludf.DUMMYFUNCTION("""COMPUTED_VALUE"""),150.0)</f>
        <v>150</v>
      </c>
      <c r="E51" s="1" t="str">
        <f>IFERROR(__xludf.DUMMYFUNCTION("""COMPUTED_VALUE"""),"Сюжет «Капитанская дочка»")</f>
        <v>Сюжет «Капитанская дочка»</v>
      </c>
      <c r="F51" s="1">
        <f>IFERROR(__xludf.DUMMYFUNCTION("""COMPUTED_VALUE"""),250.0)</f>
        <v>250</v>
      </c>
      <c r="G51" s="1" t="str">
        <f>IFERROR(__xludf.DUMMYFUNCTION("""COMPUTED_VALUE"""),"Сюжет «Герой нашего времени»")</f>
        <v>Сюжет «Герой нашего времени»</v>
      </c>
      <c r="H51" s="1">
        <f>IFERROR(__xludf.DUMMYFUNCTION("""COMPUTED_VALUE"""),350.0)</f>
        <v>350</v>
      </c>
      <c r="I51" s="1" t="str">
        <f>IFERROR(__xludf.DUMMYFUNCTION("""COMPUTED_VALUE"""),"Композиция и сюжет «Бесприданница»")</f>
        <v>Композиция и сюжет «Бесприданница»</v>
      </c>
      <c r="J51" s="1">
        <f>IFERROR(__xludf.DUMMYFUNCTION("""COMPUTED_VALUE"""),450.0)</f>
        <v>450</v>
      </c>
      <c r="K51" s="1" t="str">
        <f>IFERROR(__xludf.DUMMYFUNCTION("""COMPUTED_VALUE"""),"Савелий")</f>
        <v>Савелий</v>
      </c>
      <c r="L51" s="1">
        <f>IFERROR(__xludf.DUMMYFUNCTION("""COMPUTED_VALUE"""),550.0)</f>
        <v>550</v>
      </c>
      <c r="M51" s="1" t="str">
        <f>IFERROR(__xludf.DUMMYFUNCTION("""COMPUTED_VALUE"""),"Достоевский Ф.М. — «Белые ночи»: краткие сведения")</f>
        <v>Достоевский Ф.М. — «Белые ночи»: краткие сведения</v>
      </c>
      <c r="N51" s="1">
        <f>IFERROR(__xludf.DUMMYFUNCTION("""COMPUTED_VALUE"""),650.0)</f>
        <v>650</v>
      </c>
      <c r="O51" s="1" t="str">
        <f>IFERROR(__xludf.DUMMYFUNCTION("""COMPUTED_VALUE"""),"Волошин М.А.")</f>
        <v>Волошин М.А.</v>
      </c>
      <c r="P51" s="1">
        <f>IFERROR(__xludf.DUMMYFUNCTION("""COMPUTED_VALUE"""),758.0)</f>
        <v>758</v>
      </c>
      <c r="Q51" s="1" t="str">
        <f>IFERROR(__xludf.DUMMYFUNCTION("""COMPUTED_VALUE"""),"Есенин С.А. ""Запели тесаные дроги..."": анализ произведения")</f>
        <v>Есенин С.А. "Запели тесаные дроги...": анализ произведения</v>
      </c>
      <c r="R51" s="1">
        <f>IFERROR(__xludf.DUMMYFUNCTION("""COMPUTED_VALUE"""),850.0)</f>
        <v>850</v>
      </c>
      <c r="S51" s="1"/>
      <c r="T51" s="1"/>
      <c r="U51" s="1" t="str">
        <f>IFERROR(__xludf.DUMMYFUNCTION("""COMPUTED_VALUE"""),"Образ Василия Тёркина")</f>
        <v>Образ Василия Тёркина</v>
      </c>
      <c r="V51" s="1">
        <f>IFERROR(__xludf.DUMMYFUNCTION("""COMPUTED_VALUE"""),1050.0)</f>
        <v>1050</v>
      </c>
      <c r="W51" s="1" t="str">
        <f>IFERROR(__xludf.DUMMYFUNCTION("""COMPUTED_VALUE"""),"Рощин М.М. ")</f>
        <v>Рощин М.М. </v>
      </c>
      <c r="X51" s="1">
        <f>IFERROR(__xludf.DUMMYFUNCTION("""COMPUTED_VALUE"""),1163.0)</f>
        <v>1163</v>
      </c>
      <c r="Y51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Z51" s="1">
        <f>IFERROR(__xludf.DUMMYFUNCTION("""COMPUTED_VALUE"""),1250.0)</f>
        <v>1250</v>
      </c>
    </row>
    <row r="52">
      <c r="A52" s="1" t="str">
        <f>IFERROR(__xludf.DUMMYFUNCTION("""COMPUTED_VALUE"""),"Монолог")</f>
        <v>Монолог</v>
      </c>
      <c r="B52" s="1">
        <f>IFERROR(__xludf.DUMMYFUNCTION("""COMPUTED_VALUE"""),51.0)</f>
        <v>51</v>
      </c>
      <c r="C52" s="1" t="str">
        <f>IFERROR(__xludf.DUMMYFUNCTION("""COMPUTED_VALUE"""),"Крылов И.А. – «Листы и корни»")</f>
        <v>Крылов И.А. – «Листы и корни»</v>
      </c>
      <c r="D52" s="1">
        <f>IFERROR(__xludf.DUMMYFUNCTION("""COMPUTED_VALUE"""),151.0)</f>
        <v>151</v>
      </c>
      <c r="E52" s="1" t="str">
        <f>IFERROR(__xludf.DUMMYFUNCTION("""COMPUTED_VALUE"""),"Темы «Капитанская дочка»")</f>
        <v>Темы «Капитанская дочка»</v>
      </c>
      <c r="F52" s="1">
        <f>IFERROR(__xludf.DUMMYFUNCTION("""COMPUTED_VALUE"""),251.0)</f>
        <v>251</v>
      </c>
      <c r="G52" s="1" t="str">
        <f>IFERROR(__xludf.DUMMYFUNCTION("""COMPUTED_VALUE"""),"Фабула романа «Герой нашего времени»")</f>
        <v>Фабула романа «Герой нашего времени»</v>
      </c>
      <c r="H52" s="1">
        <f>IFERROR(__xludf.DUMMYFUNCTION("""COMPUTED_VALUE"""),351.0)</f>
        <v>351</v>
      </c>
      <c r="I52" s="1" t="str">
        <f>IFERROR(__xludf.DUMMYFUNCTION("""COMPUTED_VALUE"""),"Система образов «Бесприданница»")</f>
        <v>Система образов «Бесприданница»</v>
      </c>
      <c r="J52" s="1">
        <f>IFERROR(__xludf.DUMMYFUNCTION("""COMPUTED_VALUE"""),451.0)</f>
        <v>451</v>
      </c>
      <c r="K52" s="1" t="str">
        <f>IFERROR(__xludf.DUMMYFUNCTION("""COMPUTED_VALUE"""),"Матрена Тимофеевна")</f>
        <v>Матрена Тимофеевна</v>
      </c>
      <c r="L52" s="1">
        <f>IFERROR(__xludf.DUMMYFUNCTION("""COMPUTED_VALUE"""),551.0)</f>
        <v>551</v>
      </c>
      <c r="M52" s="1" t="str">
        <f>IFERROR(__xludf.DUMMYFUNCTION("""COMPUTED_VALUE"""),"Специфика жанра «Белые ночи»")</f>
        <v>Специфика жанра «Белые ночи»</v>
      </c>
      <c r="N52" s="1">
        <f>IFERROR(__xludf.DUMMYFUNCTION("""COMPUTED_VALUE"""),651.0)</f>
        <v>651</v>
      </c>
      <c r="O52" s="1" t="str">
        <f>IFERROR(__xludf.DUMMYFUNCTION("""COMPUTED_VALUE"""),"Клюев Н.А.")</f>
        <v>Клюев Н.А.</v>
      </c>
      <c r="P52" s="1">
        <f>IFERROR(__xludf.DUMMYFUNCTION("""COMPUTED_VALUE"""),773.0)</f>
        <v>773</v>
      </c>
      <c r="Q52" s="1" t="str">
        <f>IFERROR(__xludf.DUMMYFUNCTION("""COMPUTED_VALUE"""),"Есенин С.А. ""Русь"": анализ произведения")</f>
        <v>Есенин С.А. "Русь": анализ произведения</v>
      </c>
      <c r="R52" s="1">
        <f>IFERROR(__xludf.DUMMYFUNCTION("""COMPUTED_VALUE"""),851.0)</f>
        <v>851</v>
      </c>
      <c r="S52" s="1"/>
      <c r="T52" s="1"/>
      <c r="U52" s="1" t="str">
        <f>IFERROR(__xludf.DUMMYFUNCTION("""COMPUTED_VALUE"""),"Пастернак Б.Л. ""Доктор Живаго"": особенности произведения")</f>
        <v>Пастернак Б.Л. "Доктор Живаго": особенности произведения</v>
      </c>
      <c r="V52" s="1">
        <f>IFERROR(__xludf.DUMMYFUNCTION("""COMPUTED_VALUE"""),1051.0)</f>
        <v>1051</v>
      </c>
      <c r="W52" s="1" t="str">
        <f>IFERROR(__xludf.DUMMYFUNCTION("""COMPUTED_VALUE"""),"Б.Л. Васильев — «А зори здесь тихие…»")</f>
        <v>Б.Л. Васильев — «А зори здесь тихие…»</v>
      </c>
      <c r="X52" s="1">
        <f>IFERROR(__xludf.DUMMYFUNCTION("""COMPUTED_VALUE"""),1164.0)</f>
        <v>1164</v>
      </c>
      <c r="Y52" s="1" t="str">
        <f>IFERROR(__xludf.DUMMYFUNCTION("""COMPUTED_VALUE"""),"Грамотная речь")</f>
        <v>Грамотная речь</v>
      </c>
      <c r="Z52" s="1">
        <f>IFERROR(__xludf.DUMMYFUNCTION("""COMPUTED_VALUE"""),1251.0)</f>
        <v>1251</v>
      </c>
    </row>
    <row r="53">
      <c r="A53" s="1" t="str">
        <f>IFERROR(__xludf.DUMMYFUNCTION("""COMPUTED_VALUE"""),"Внутренний монолог")</f>
        <v>Внутренний монолог</v>
      </c>
      <c r="B53" s="1">
        <f>IFERROR(__xludf.DUMMYFUNCTION("""COMPUTED_VALUE"""),52.0)</f>
        <v>52</v>
      </c>
      <c r="C53" s="1" t="str">
        <f>IFERROR(__xludf.DUMMYFUNCTION("""COMPUTED_VALUE"""),"Крылов И.А. – «Волк на псарне»")</f>
        <v>Крылов И.А. – «Волк на псарне»</v>
      </c>
      <c r="D53" s="1">
        <f>IFERROR(__xludf.DUMMYFUNCTION("""COMPUTED_VALUE"""),152.0)</f>
        <v>152</v>
      </c>
      <c r="E53" s="1" t="str">
        <f>IFERROR(__xludf.DUMMYFUNCTION("""COMPUTED_VALUE"""),"Композиция «Капитанская дочка»")</f>
        <v>Композиция «Капитанская дочка»</v>
      </c>
      <c r="F53" s="1">
        <f>IFERROR(__xludf.DUMMYFUNCTION("""COMPUTED_VALUE"""),252.0)</f>
        <v>252</v>
      </c>
      <c r="G53" s="1" t="str">
        <f>IFERROR(__xludf.DUMMYFUNCTION("""COMPUTED_VALUE"""),"Расположение глав в произведении «Герой нашего времени»")</f>
        <v>Расположение глав в произведении «Герой нашего времени»</v>
      </c>
      <c r="H53" s="1">
        <f>IFERROR(__xludf.DUMMYFUNCTION("""COMPUTED_VALUE"""),352.0)</f>
        <v>352</v>
      </c>
      <c r="I53" s="1" t="str">
        <f>IFERROR(__xludf.DUMMYFUNCTION("""COMPUTED_VALUE""")," Островский А.Н. – «Бедность не порок»")</f>
        <v> Островский А.Н. – «Бедность не порок»</v>
      </c>
      <c r="J53" s="1">
        <f>IFERROR(__xludf.DUMMYFUNCTION("""COMPUTED_VALUE"""),452.0)</f>
        <v>452</v>
      </c>
      <c r="K53" s="1" t="str">
        <f>IFERROR(__xludf.DUMMYFUNCTION("""COMPUTED_VALUE"""),"Гриша Добросклонов")</f>
        <v>Гриша Добросклонов</v>
      </c>
      <c r="L53" s="1">
        <f>IFERROR(__xludf.DUMMYFUNCTION("""COMPUTED_VALUE"""),552.0)</f>
        <v>552</v>
      </c>
      <c r="M53" s="1" t="str">
        <f>IFERROR(__xludf.DUMMYFUNCTION("""COMPUTED_VALUE"""),"Сюжет «Белые ночи»")</f>
        <v>Сюжет «Белые ночи»</v>
      </c>
      <c r="N53" s="1">
        <f>IFERROR(__xludf.DUMMYFUNCTION("""COMPUTED_VALUE"""),652.0)</f>
        <v>652</v>
      </c>
      <c r="O53" s="1" t="str">
        <f>IFERROR(__xludf.DUMMYFUNCTION("""COMPUTED_VALUE"""),"Северянин И.")</f>
        <v>Северянин И.</v>
      </c>
      <c r="P53" s="1">
        <f>IFERROR(__xludf.DUMMYFUNCTION("""COMPUTED_VALUE"""),774.0)</f>
        <v>774</v>
      </c>
      <c r="Q53" s="1" t="str">
        <f>IFERROR(__xludf.DUMMYFUNCTION("""COMPUTED_VALUE"""),"Есенин С.А. ""Пушкину"": анализ произведения")</f>
        <v>Есенин С.А. "Пушкину": анализ произведения</v>
      </c>
      <c r="R53" s="1">
        <f>IFERROR(__xludf.DUMMYFUNCTION("""COMPUTED_VALUE"""),852.0)</f>
        <v>852</v>
      </c>
      <c r="S53" s="1"/>
      <c r="T53" s="1"/>
      <c r="U53" s="1" t="str">
        <f>IFERROR(__xludf.DUMMYFUNCTION("""COMPUTED_VALUE"""),"Темы, идеи ""Доктор Живаго""")</f>
        <v>Темы, идеи "Доктор Живаго"</v>
      </c>
      <c r="V53" s="1">
        <f>IFERROR(__xludf.DUMMYFUNCTION("""COMPUTED_VALUE"""),1052.0)</f>
        <v>1052</v>
      </c>
      <c r="W53" s="1" t="str">
        <f>IFERROR(__xludf.DUMMYFUNCTION("""COMPUTED_VALUE"""),"В.В. Быков — «Сотников»")</f>
        <v>В.В. Быков — «Сотников»</v>
      </c>
      <c r="X53" s="1">
        <f>IFERROR(__xludf.DUMMYFUNCTION("""COMPUTED_VALUE"""),1165.0)</f>
        <v>1165</v>
      </c>
      <c r="Y53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Z53" s="1">
        <f>IFERROR(__xludf.DUMMYFUNCTION("""COMPUTED_VALUE"""),1252.0)</f>
        <v>1252</v>
      </c>
    </row>
    <row r="54">
      <c r="A54" s="1" t="str">
        <f>IFERROR(__xludf.DUMMYFUNCTION("""COMPUTED_VALUE"""),"Сказ")</f>
        <v>Сказ</v>
      </c>
      <c r="B54" s="1">
        <f>IFERROR(__xludf.DUMMYFUNCTION("""COMPUTED_VALUE"""),53.0)</f>
        <v>53</v>
      </c>
      <c r="C54" s="1" t="str">
        <f>IFERROR(__xludf.DUMMYFUNCTION("""COMPUTED_VALUE"""),"Крылов И.А. – «Квартет»")</f>
        <v>Крылов И.А. – «Квартет»</v>
      </c>
      <c r="D54" s="1">
        <f>IFERROR(__xludf.DUMMYFUNCTION("""COMPUTED_VALUE"""),153.0)</f>
        <v>153</v>
      </c>
      <c r="E54" s="1" t="str">
        <f>IFERROR(__xludf.DUMMYFUNCTION("""COMPUTED_VALUE"""),"Описание природы в романе")</f>
        <v>Описание природы в романе</v>
      </c>
      <c r="F54" s="1">
        <f>IFERROR(__xludf.DUMMYFUNCTION("""COMPUTED_VALUE"""),253.0)</f>
        <v>253</v>
      </c>
      <c r="G54" s="1" t="str">
        <f>IFERROR(__xludf.DUMMYFUNCTION("""COMPUTED_VALUE"""),"Печорин глазами Максима Максимыча — «Бэла»")</f>
        <v>Печорин глазами Максима Максимыча — «Бэла»</v>
      </c>
      <c r="H54" s="1">
        <f>IFERROR(__xludf.DUMMYFUNCTION("""COMPUTED_VALUE"""),353.0)</f>
        <v>353</v>
      </c>
      <c r="I54" s="1" t="str">
        <f>IFERROR(__xludf.DUMMYFUNCTION("""COMPUTED_VALUE""")," Островский А.Н. – «Свои люди - сочтёмся»")</f>
        <v> Островский А.Н. – «Свои люди - сочтёмся»</v>
      </c>
      <c r="J54" s="1">
        <f>IFERROR(__xludf.DUMMYFUNCTION("""COMPUTED_VALUE"""),453.0)</f>
        <v>453</v>
      </c>
      <c r="K54" s="1" t="str">
        <f>IFERROR(__xludf.DUMMYFUNCTION("""COMPUTED_VALUE"""),"О названии произведения")</f>
        <v>О названии произведения</v>
      </c>
      <c r="L54" s="1">
        <f>IFERROR(__xludf.DUMMYFUNCTION("""COMPUTED_VALUE"""),553.0)</f>
        <v>553</v>
      </c>
      <c r="M54" s="1" t="str">
        <f>IFERROR(__xludf.DUMMYFUNCTION("""COMPUTED_VALUE"""),"Темы «Белые ночи»")</f>
        <v>Темы «Белые ночи»</v>
      </c>
      <c r="N54" s="1">
        <f>IFERROR(__xludf.DUMMYFUNCTION("""COMPUTED_VALUE"""),653.0)</f>
        <v>653</v>
      </c>
      <c r="O54" s="1" t="str">
        <f>IFERROR(__xludf.DUMMYFUNCTION("""COMPUTED_VALUE"""),"Сологуб Ф.К.")</f>
        <v>Сологуб Ф.К.</v>
      </c>
      <c r="P54" s="1">
        <f>IFERROR(__xludf.DUMMYFUNCTION("""COMPUTED_VALUE"""),775.0)</f>
        <v>775</v>
      </c>
      <c r="Q54" s="1" t="str">
        <f>IFERROR(__xludf.DUMMYFUNCTION("""COMPUTED_VALUE"""),"Есенин С.А. ""Я иду долиной. На затылке кепи..."": анализ произведения")</f>
        <v>Есенин С.А. "Я иду долиной. На затылке кепи...": анализ произведения</v>
      </c>
      <c r="R54" s="1">
        <f>IFERROR(__xludf.DUMMYFUNCTION("""COMPUTED_VALUE"""),853.0)</f>
        <v>853</v>
      </c>
      <c r="S54" s="1"/>
      <c r="T54" s="1"/>
      <c r="U54" s="1" t="str">
        <f>IFERROR(__xludf.DUMMYFUNCTION("""COMPUTED_VALUE"""),"Проблематика ""Доктор Живаго""")</f>
        <v>Проблематика "Доктор Живаго"</v>
      </c>
      <c r="V54" s="1">
        <f>IFERROR(__xludf.DUMMYFUNCTION("""COMPUTED_VALUE"""),1053.0)</f>
        <v>1053</v>
      </c>
      <c r="W54" s="1" t="str">
        <f>IFERROR(__xludf.DUMMYFUNCTION("""COMPUTED_VALUE"""),"Бродский И.А.")</f>
        <v>Бродский И.А.</v>
      </c>
      <c r="X54" s="1">
        <f>IFERROR(__xludf.DUMMYFUNCTION("""COMPUTED_VALUE"""),1166.0)</f>
        <v>1166</v>
      </c>
      <c r="Y54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Z54" s="1">
        <f>IFERROR(__xludf.DUMMYFUNCTION("""COMPUTED_VALUE"""),1253.0)</f>
        <v>1253</v>
      </c>
    </row>
    <row r="55">
      <c r="A55" s="1" t="str">
        <f>IFERROR(__xludf.DUMMYFUNCTION("""COMPUTED_VALUE"""),"Поэтический синтаксис")</f>
        <v>Поэтический синтаксис</v>
      </c>
      <c r="B55" s="1">
        <f>IFERROR(__xludf.DUMMYFUNCTION("""COMPUTED_VALUE"""),54.0)</f>
        <v>54</v>
      </c>
      <c r="C55" s="1" t="str">
        <f>IFERROR(__xludf.DUMMYFUNCTION("""COMPUTED_VALUE"""),"Крылов И.А. – «Осёл и соловей»")</f>
        <v>Крылов И.А. – «Осёл и соловей»</v>
      </c>
      <c r="D55" s="1">
        <f>IFERROR(__xludf.DUMMYFUNCTION("""COMPUTED_VALUE"""),154.0)</f>
        <v>154</v>
      </c>
      <c r="E55" s="1" t="str">
        <f>IFERROR(__xludf.DUMMYFUNCTION("""COMPUTED_VALUE"""),"Описание бурана")</f>
        <v>Описание бурана</v>
      </c>
      <c r="F55" s="1">
        <f>IFERROR(__xludf.DUMMYFUNCTION("""COMPUTED_VALUE"""),254.0)</f>
        <v>254</v>
      </c>
      <c r="G55" s="1" t="str">
        <f>IFERROR(__xludf.DUMMYFUNCTION("""COMPUTED_VALUE"""),"Печорин глазами автора-повествователя — «Максим Максимыч»")</f>
        <v>Печорин глазами автора-повествователя — «Максим Максимыч»</v>
      </c>
      <c r="H55" s="1">
        <f>IFERROR(__xludf.DUMMYFUNCTION("""COMPUTED_VALUE"""),354.0)</f>
        <v>354</v>
      </c>
      <c r="I55" s="1" t="str">
        <f>IFERROR(__xludf.DUMMYFUNCTION("""COMPUTED_VALUE"""),"Биография Тургенева И.С.")</f>
        <v>Биография Тургенева И.С.</v>
      </c>
      <c r="J55" s="1">
        <f>IFERROR(__xludf.DUMMYFUNCTION("""COMPUTED_VALUE"""),454.0)</f>
        <v>454</v>
      </c>
      <c r="K55" s="1" t="str">
        <f>IFERROR(__xludf.DUMMYFUNCTION("""COMPUTED_VALUE"""),"И.А. Гончаров — «Обломов»: особенности произведения")</f>
        <v>И.А. Гончаров — «Обломов»: особенности произведения</v>
      </c>
      <c r="L55" s="1">
        <f>IFERROR(__xludf.DUMMYFUNCTION("""COMPUTED_VALUE"""),554.0)</f>
        <v>554</v>
      </c>
      <c r="M55" s="1" t="str">
        <f>IFERROR(__xludf.DUMMYFUNCTION("""COMPUTED_VALUE"""),"Тип петербургского мечтателя «Белые ночи»")</f>
        <v>Тип петербургского мечтателя «Белые ночи»</v>
      </c>
      <c r="N55" s="1">
        <f>IFERROR(__xludf.DUMMYFUNCTION("""COMPUTED_VALUE"""),654.0)</f>
        <v>654</v>
      </c>
      <c r="O55" s="1" t="str">
        <f>IFERROR(__xludf.DUMMYFUNCTION("""COMPUTED_VALUE"""),"Ходасевич В.Ф.")</f>
        <v>Ходасевич В.Ф.</v>
      </c>
      <c r="P55" s="1">
        <f>IFERROR(__xludf.DUMMYFUNCTION("""COMPUTED_VALUE"""),786.0)</f>
        <v>786</v>
      </c>
      <c r="Q55" s="1" t="str">
        <f>IFERROR(__xludf.DUMMYFUNCTION("""COMPUTED_VALUE"""),"Есенин С.А. ""Низкий дом с голубыми ставнями..."": анализ произведения")</f>
        <v>Есенин С.А. "Низкий дом с голубыми ставнями...": анализ произведения</v>
      </c>
      <c r="R55" s="1">
        <f>IFERROR(__xludf.DUMMYFUNCTION("""COMPUTED_VALUE"""),854.0)</f>
        <v>854</v>
      </c>
      <c r="S55" s="1"/>
      <c r="T55" s="1"/>
      <c r="U55" s="1" t="str">
        <f>IFERROR(__xludf.DUMMYFUNCTION("""COMPUTED_VALUE"""),"История создания ""Доктор Живаго""")</f>
        <v>История создания "Доктор Живаго"</v>
      </c>
      <c r="V55" s="1">
        <f>IFERROR(__xludf.DUMMYFUNCTION("""COMPUTED_VALUE"""),1054.0)</f>
        <v>1054</v>
      </c>
      <c r="W55" s="1"/>
      <c r="X55" s="1"/>
      <c r="Y55" s="1" t="str">
        <f>IFERROR(__xludf.DUMMYFUNCTION("""COMPUTED_VALUE"""),"Раскрывать конкретно-историческое и общечеловеческое содержание изученных литературных произведений")</f>
        <v>Раскрывать конкретно-историческое и общечеловеческое содержание изученных литературных произведений</v>
      </c>
      <c r="Z55" s="1">
        <f>IFERROR(__xludf.DUMMYFUNCTION("""COMPUTED_VALUE"""),1254.0)</f>
        <v>1254</v>
      </c>
    </row>
    <row r="56">
      <c r="A56" s="1" t="str">
        <f>IFERROR(__xludf.DUMMYFUNCTION("""COMPUTED_VALUE"""),"Афоризм")</f>
        <v>Афоризм</v>
      </c>
      <c r="B56" s="1">
        <f>IFERROR(__xludf.DUMMYFUNCTION("""COMPUTED_VALUE"""),55.0)</f>
        <v>55</v>
      </c>
      <c r="C56" s="1" t="str">
        <f>IFERROR(__xludf.DUMMYFUNCTION("""COMPUTED_VALUE"""),"""Творчество Жуковского В.А."" ")</f>
        <v>"Творчество Жуковского В.А." </v>
      </c>
      <c r="D56" s="1">
        <f>IFERROR(__xludf.DUMMYFUNCTION("""COMPUTED_VALUE"""),155.0)</f>
        <v>155</v>
      </c>
      <c r="E56" s="1" t="str">
        <f>IFERROR(__xludf.DUMMYFUNCTION("""COMPUTED_VALUE"""),"Символы «Капитанская дочка»")</f>
        <v>Символы «Капитанская дочка»</v>
      </c>
      <c r="F56" s="1">
        <f>IFERROR(__xludf.DUMMYFUNCTION("""COMPUTED_VALUE"""),255.0)</f>
        <v>255</v>
      </c>
      <c r="G56" s="1" t="str">
        <f>IFERROR(__xludf.DUMMYFUNCTION("""COMPUTED_VALUE"""),"«Журнал Печорина»/«Тамань»")</f>
        <v>«Журнал Печорина»/«Тамань»</v>
      </c>
      <c r="H56" s="1">
        <f>IFERROR(__xludf.DUMMYFUNCTION("""COMPUTED_VALUE"""),355.0)</f>
        <v>355</v>
      </c>
      <c r="I56" s="1" t="str">
        <f>IFERROR(__xludf.DUMMYFUNCTION("""COMPUTED_VALUE"""),"Творчество Тургенева И.С.")</f>
        <v>Творчество Тургенева И.С.</v>
      </c>
      <c r="J56" s="1">
        <f>IFERROR(__xludf.DUMMYFUNCTION("""COMPUTED_VALUE"""),455.0)</f>
        <v>455</v>
      </c>
      <c r="K56" s="1" t="str">
        <f>IFERROR(__xludf.DUMMYFUNCTION("""COMPUTED_VALUE"""),"Темы «Обломов»")</f>
        <v>Темы «Обломов»</v>
      </c>
      <c r="L56" s="1">
        <f>IFERROR(__xludf.DUMMYFUNCTION("""COMPUTED_VALUE"""),555.0)</f>
        <v>555</v>
      </c>
      <c r="M56" s="1" t="str">
        <f>IFERROR(__xludf.DUMMYFUNCTION("""COMPUTED_VALUE"""),"Композиция «Белые ночи»")</f>
        <v>Композиция «Белые ночи»</v>
      </c>
      <c r="N56" s="1">
        <f>IFERROR(__xludf.DUMMYFUNCTION("""COMPUTED_VALUE"""),655.0)</f>
        <v>655</v>
      </c>
      <c r="O56" s="1" t="str">
        <f>IFERROR(__xludf.DUMMYFUNCTION("""COMPUTED_VALUE"""),"Вишневый сад”: особенности конфликта")</f>
        <v>Вишневый сад”: особенности конфликта</v>
      </c>
      <c r="P56" s="1">
        <f>IFERROR(__xludf.DUMMYFUNCTION("""COMPUTED_VALUE"""),787.0)</f>
        <v>787</v>
      </c>
      <c r="Q56" s="1" t="str">
        <f>IFERROR(__xludf.DUMMYFUNCTION("""COMPUTED_VALUE"""),"Лирика Цветаевой М.И.")</f>
        <v>Лирика Цветаевой М.И.</v>
      </c>
      <c r="R56" s="1">
        <f>IFERROR(__xludf.DUMMYFUNCTION("""COMPUTED_VALUE"""),855.0)</f>
        <v>855</v>
      </c>
      <c r="S56" s="1"/>
      <c r="T56" s="1"/>
      <c r="U56" s="1" t="str">
        <f>IFERROR(__xludf.DUMMYFUNCTION("""COMPUTED_VALUE"""),"Сюжет ""Доктор Живаго""")</f>
        <v>Сюжет "Доктор Живаго"</v>
      </c>
      <c r="V56" s="1">
        <f>IFERROR(__xludf.DUMMYFUNCTION("""COMPUTED_VALUE"""),1055.0)</f>
        <v>1055</v>
      </c>
      <c r="W56" s="1"/>
      <c r="X56" s="1"/>
      <c r="Y56" s="1" t="str">
        <f>IFERROR(__xludf.DUMMYFUNCTION("""COMPUTED_VALUE"""),"Связывать литературную классику со временем написания, с современностью и традицией")</f>
        <v>Связывать литературную классику со временем написания, с современностью и традицией</v>
      </c>
      <c r="Z56" s="1">
        <f>IFERROR(__xludf.DUMMYFUNCTION("""COMPUTED_VALUE"""),1255.0)</f>
        <v>1255</v>
      </c>
    </row>
    <row r="57">
      <c r="A57" s="1" t="str">
        <f>IFERROR(__xludf.DUMMYFUNCTION("""COMPUTED_VALUE"""),"Инверсия")</f>
        <v>Инверсия</v>
      </c>
      <c r="B57" s="1">
        <f>IFERROR(__xludf.DUMMYFUNCTION("""COMPUTED_VALUE"""),56.0)</f>
        <v>56</v>
      </c>
      <c r="C57" s="1" t="str">
        <f>IFERROR(__xludf.DUMMYFUNCTION("""COMPUTED_VALUE"""),"Биография Жуковского В.А. ")</f>
        <v>Биография Жуковского В.А. </v>
      </c>
      <c r="D57" s="1">
        <f>IFERROR(__xludf.DUMMYFUNCTION("""COMPUTED_VALUE"""),156.0)</f>
        <v>156</v>
      </c>
      <c r="E57" s="1" t="str">
        <f>IFERROR(__xludf.DUMMYFUNCTION("""COMPUTED_VALUE"""),"Детали «Капитанская дочка»")</f>
        <v>Детали «Капитанская дочка»</v>
      </c>
      <c r="F57" s="1">
        <f>IFERROR(__xludf.DUMMYFUNCTION("""COMPUTED_VALUE"""),256.0)</f>
        <v>256</v>
      </c>
      <c r="G57" s="1" t="str">
        <f>IFERROR(__xludf.DUMMYFUNCTION("""COMPUTED_VALUE"""),"«Журнал Печорина»/«Княжна Мери»")</f>
        <v>«Журнал Печорина»/«Княжна Мери»</v>
      </c>
      <c r="H57" s="1">
        <f>IFERROR(__xludf.DUMMYFUNCTION("""COMPUTED_VALUE"""),356.0)</f>
        <v>356</v>
      </c>
      <c r="I57" s="1" t="str">
        <f>IFERROR(__xludf.DUMMYFUNCTION("""COMPUTED_VALUE"""),"Расцвет Тургенева И.С.")</f>
        <v>Расцвет Тургенева И.С.</v>
      </c>
      <c r="J57" s="1">
        <f>IFERROR(__xludf.DUMMYFUNCTION("""COMPUTED_VALUE"""),456.0)</f>
        <v>456</v>
      </c>
      <c r="K57" s="1" t="str">
        <f>IFERROR(__xludf.DUMMYFUNCTION("""COMPUTED_VALUE"""),"Идея «Обломов»")</f>
        <v>Идея «Обломов»</v>
      </c>
      <c r="L57" s="1">
        <f>IFERROR(__xludf.DUMMYFUNCTION("""COMPUTED_VALUE"""),556.0)</f>
        <v>556</v>
      </c>
      <c r="M57" s="1" t="str">
        <f>IFERROR(__xludf.DUMMYFUNCTION("""COMPUTED_VALUE"""),"Идея произведения «Белые ночи»")</f>
        <v>Идея произведения «Белые ночи»</v>
      </c>
      <c r="N57" s="1">
        <f>IFERROR(__xludf.DUMMYFUNCTION("""COMPUTED_VALUE"""),656.0)</f>
        <v>656</v>
      </c>
      <c r="O57" s="1" t="str">
        <f>IFERROR(__xludf.DUMMYFUNCTION("""COMPUTED_VALUE"""),"Бальмонт К.Д.")</f>
        <v>Бальмонт К.Д.</v>
      </c>
      <c r="P57" s="1">
        <f>IFERROR(__xludf.DUMMYFUNCTION("""COMPUTED_VALUE"""),788.0)</f>
        <v>788</v>
      </c>
      <c r="Q57" s="1" t="str">
        <f>IFERROR(__xludf.DUMMYFUNCTION("""COMPUTED_VALUE"""),"Биография Цветаевой М.И.")</f>
        <v>Биография Цветаевой М.И.</v>
      </c>
      <c r="R57" s="1">
        <f>IFERROR(__xludf.DUMMYFUNCTION("""COMPUTED_VALUE"""),856.0)</f>
        <v>856</v>
      </c>
      <c r="S57" s="1"/>
      <c r="T57" s="1"/>
      <c r="U57" s="1" t="str">
        <f>IFERROR(__xludf.DUMMYFUNCTION("""COMPUTED_VALUE"""),"Композиция ""Доктор Живаго""")</f>
        <v>Композиция "Доктор Живаго"</v>
      </c>
      <c r="V57" s="1">
        <f>IFERROR(__xludf.DUMMYFUNCTION("""COMPUTED_VALUE"""),1056.0)</f>
        <v>1056</v>
      </c>
      <c r="W57" s="1"/>
      <c r="X57" s="1"/>
      <c r="Y57" s="1" t="str">
        <f>IFERROR(__xludf.DUMMYFUNCTION("""COMPUTED_VALUE"""),"Выявлять «сквозные темы» и ключевые проблемы русской литературы")</f>
        <v>Выявлять «сквозные темы» и ключевые проблемы русской литературы</v>
      </c>
      <c r="Z57" s="1">
        <f>IFERROR(__xludf.DUMMYFUNCTION("""COMPUTED_VALUE"""),1256.0)</f>
        <v>1256</v>
      </c>
    </row>
    <row r="58">
      <c r="A58" s="1" t="str">
        <f>IFERROR(__xludf.DUMMYFUNCTION("""COMPUTED_VALUE"""),"Повтор")</f>
        <v>Повтор</v>
      </c>
      <c r="B58" s="1">
        <f>IFERROR(__xludf.DUMMYFUNCTION("""COMPUTED_VALUE"""),57.0)</f>
        <v>57</v>
      </c>
      <c r="C58" s="1" t="str">
        <f>IFERROR(__xludf.DUMMYFUNCTION("""COMPUTED_VALUE"""),"Жуковский В.А. – «Светлана»")</f>
        <v>Жуковский В.А. – «Светлана»</v>
      </c>
      <c r="D58" s="1">
        <f>IFERROR(__xludf.DUMMYFUNCTION("""COMPUTED_VALUE"""),157.0)</f>
        <v>157</v>
      </c>
      <c r="E58" s="1" t="str">
        <f>IFERROR(__xludf.DUMMYFUNCTION("""COMPUTED_VALUE"""),"Противопоставление Гринёва и Швабрина")</f>
        <v>Противопоставление Гринёва и Швабрина</v>
      </c>
      <c r="F58" s="1">
        <f>IFERROR(__xludf.DUMMYFUNCTION("""COMPUTED_VALUE"""),257.0)</f>
        <v>257</v>
      </c>
      <c r="G58" s="1" t="str">
        <f>IFERROR(__xludf.DUMMYFUNCTION("""COMPUTED_VALUE"""),"Грушницкий — антипод Печорина")</f>
        <v>Грушницкий — антипод Печорина</v>
      </c>
      <c r="H58" s="1">
        <f>IFERROR(__xludf.DUMMYFUNCTION("""COMPUTED_VALUE"""),357.0)</f>
        <v>357</v>
      </c>
      <c r="I58" s="1" t="str">
        <f>IFERROR(__xludf.DUMMYFUNCTION("""COMPUTED_VALUE"""),"Европа и Тургенев И.С.")</f>
        <v>Европа и Тургенев И.С.</v>
      </c>
      <c r="J58" s="1">
        <f>IFERROR(__xludf.DUMMYFUNCTION("""COMPUTED_VALUE"""),457.0)</f>
        <v>457</v>
      </c>
      <c r="K58" s="1" t="str">
        <f>IFERROR(__xludf.DUMMYFUNCTION("""COMPUTED_VALUE"""),"Проблематика «Обломов»")</f>
        <v>Проблематика «Обломов»</v>
      </c>
      <c r="L58" s="1">
        <f>IFERROR(__xludf.DUMMYFUNCTION("""COMPUTED_VALUE"""),557.0)</f>
        <v>557</v>
      </c>
      <c r="M58" s="1" t="str">
        <f>IFERROR(__xludf.DUMMYFUNCTION("""COMPUTED_VALUE"""),"Языковые особенности в произведении «Белые ночи»")</f>
        <v>Языковые особенности в произведении «Белые ночи»</v>
      </c>
      <c r="N58" s="1">
        <f>IFERROR(__xludf.DUMMYFUNCTION("""COMPUTED_VALUE"""),657.0)</f>
        <v>657</v>
      </c>
      <c r="O58" s="1" t="str">
        <f>IFERROR(__xludf.DUMMYFUNCTION("""COMPUTED_VALUE"""),"Брюсов В.Я.")</f>
        <v>Брюсов В.Я.</v>
      </c>
      <c r="P58" s="1">
        <f>IFERROR(__xludf.DUMMYFUNCTION("""COMPUTED_VALUE"""),789.0)</f>
        <v>789</v>
      </c>
      <c r="Q58" s="1" t="str">
        <f>IFERROR(__xludf.DUMMYFUNCTION("""COMPUTED_VALUE"""),"Цветаева М.И. – «Моим стихам, написанным так рано…»")</f>
        <v>Цветаева М.И. – «Моим стихам, написанным так рано…»</v>
      </c>
      <c r="R58" s="1">
        <f>IFERROR(__xludf.DUMMYFUNCTION("""COMPUTED_VALUE"""),857.0)</f>
        <v>857</v>
      </c>
      <c r="S58" s="1"/>
      <c r="T58" s="1"/>
      <c r="U58" s="1" t="str">
        <f>IFERROR(__xludf.DUMMYFUNCTION("""COMPUTED_VALUE"""),"Система образов ""Доктор Живаго""")</f>
        <v>Система образов "Доктор Живаго"</v>
      </c>
      <c r="V58" s="1">
        <f>IFERROR(__xludf.DUMMYFUNCTION("""COMPUTED_VALUE"""),1057.0)</f>
        <v>1057</v>
      </c>
      <c r="W58" s="1"/>
      <c r="X58" s="1"/>
      <c r="Y58" s="1" t="str">
        <f>IFERROR(__xludf.DUMMYFUNCTION("""COMPUTED_VALUE"""),"Соотносить изучаемое произведение с литературным направлением эпохи")</f>
        <v>Соотносить изучаемое произведение с литературным направлением эпохи</v>
      </c>
      <c r="Z58" s="1">
        <f>IFERROR(__xludf.DUMMYFUNCTION("""COMPUTED_VALUE"""),1257.0)</f>
        <v>1257</v>
      </c>
    </row>
    <row r="59">
      <c r="A59" s="1" t="str">
        <f>IFERROR(__xludf.DUMMYFUNCTION("""COMPUTED_VALUE"""),"Изобразительно-выразительные средства")</f>
        <v>Изобразительно-выразительные средства</v>
      </c>
      <c r="B59" s="1">
        <f>IFERROR(__xludf.DUMMYFUNCTION("""COMPUTED_VALUE"""),58.0)</f>
        <v>58</v>
      </c>
      <c r="C59" s="1" t="str">
        <f>IFERROR(__xludf.DUMMYFUNCTION("""COMPUTED_VALUE"""),"Заслуги Жуковского перед русской литературой")</f>
        <v>Заслуги Жуковского перед русской литературой</v>
      </c>
      <c r="D59" s="1">
        <f>IFERROR(__xludf.DUMMYFUNCTION("""COMPUTED_VALUE"""),158.0)</f>
        <v>158</v>
      </c>
      <c r="E59" s="1" t="str">
        <f>IFERROR(__xludf.DUMMYFUNCTION("""COMPUTED_VALUE"""),"Пётр Гринёв")</f>
        <v>Пётр Гринёв</v>
      </c>
      <c r="F59" s="1">
        <f>IFERROR(__xludf.DUMMYFUNCTION("""COMPUTED_VALUE"""),258.0)</f>
        <v>258</v>
      </c>
      <c r="G59" s="1" t="str">
        <f>IFERROR(__xludf.DUMMYFUNCTION("""COMPUTED_VALUE"""),"Любовные треугольники")</f>
        <v>Любовные треугольники</v>
      </c>
      <c r="H59" s="1">
        <f>IFERROR(__xludf.DUMMYFUNCTION("""COMPUTED_VALUE"""),358.0)</f>
        <v>358</v>
      </c>
      <c r="I59" s="1" t="str">
        <f>IFERROR(__xludf.DUMMYFUNCTION("""COMPUTED_VALUE"""),"Закат Тургенева И.С.")</f>
        <v>Закат Тургенева И.С.</v>
      </c>
      <c r="J59" s="1">
        <f>IFERROR(__xludf.DUMMYFUNCTION("""COMPUTED_VALUE"""),458.0)</f>
        <v>458</v>
      </c>
      <c r="K59" s="1" t="str">
        <f>IFERROR(__xludf.DUMMYFUNCTION("""COMPUTED_VALUE"""),"История создания «Обломов»")</f>
        <v>История создания «Обломов»</v>
      </c>
      <c r="L59" s="1">
        <f>IFERROR(__xludf.DUMMYFUNCTION("""COMPUTED_VALUE"""),558.0)</f>
        <v>558</v>
      </c>
      <c r="M59" s="1" t="str">
        <f>IFERROR(__xludf.DUMMYFUNCTION("""COMPUTED_VALUE"""),"Образ Петербурга «Белые ночи»")</f>
        <v>Образ Петербурга «Белые ночи»</v>
      </c>
      <c r="N59" s="1">
        <f>IFERROR(__xludf.DUMMYFUNCTION("""COMPUTED_VALUE"""),658.0)</f>
        <v>658</v>
      </c>
      <c r="O59" s="1" t="str">
        <f>IFERROR(__xludf.DUMMYFUNCTION("""COMPUTED_VALUE"""),"Гумилёв Н.С.")</f>
        <v>Гумилёв Н.С.</v>
      </c>
      <c r="P59" s="1">
        <f>IFERROR(__xludf.DUMMYFUNCTION("""COMPUTED_VALUE"""),790.0)</f>
        <v>790</v>
      </c>
      <c r="Q59" s="1" t="str">
        <f>IFERROR(__xludf.DUMMYFUNCTION("""COMPUTED_VALUE"""),"Цветаева М.И. – «Имя твое - птица в руке... («Стихи к Блоку»)»")</f>
        <v>Цветаева М.И. – «Имя твое - птица в руке... («Стихи к Блоку»)»</v>
      </c>
      <c r="R59" s="1">
        <f>IFERROR(__xludf.DUMMYFUNCTION("""COMPUTED_VALUE"""),858.0)</f>
        <v>858</v>
      </c>
      <c r="S59" s="1"/>
      <c r="T59" s="1"/>
      <c r="U59" s="1" t="str">
        <f>IFERROR(__xludf.DUMMYFUNCTION("""COMPUTED_VALUE"""),"Про эти стихи: анализ произведения")</f>
        <v>Про эти стихи: анализ произведения</v>
      </c>
      <c r="V59" s="1">
        <f>IFERROR(__xludf.DUMMYFUNCTION("""COMPUTED_VALUE"""),1058.0)</f>
        <v>1058</v>
      </c>
      <c r="W59" s="1"/>
      <c r="X59" s="1"/>
      <c r="Y59" s="1" t="str">
        <f>IFERROR(__xludf.DUMMYFUNCTION("""COMPUTED_VALUE"""),"Выделять черты литературных направлений и течений при анализе произведения")</f>
        <v>Выделять черты литературных направлений и течений при анализе произведения</v>
      </c>
      <c r="Z59" s="1">
        <f>IFERROR(__xludf.DUMMYFUNCTION("""COMPUTED_VALUE"""),1258.0)</f>
        <v>1258</v>
      </c>
    </row>
    <row r="60">
      <c r="A60" s="1" t="str">
        <f>IFERROR(__xludf.DUMMYFUNCTION("""COMPUTED_VALUE"""),"Сравнение")</f>
        <v>Сравнение</v>
      </c>
      <c r="B60" s="1">
        <f>IFERROR(__xludf.DUMMYFUNCTION("""COMPUTED_VALUE"""),59.0)</f>
        <v>59</v>
      </c>
      <c r="C60" s="1" t="str">
        <f>IFERROR(__xludf.DUMMYFUNCTION("""COMPUTED_VALUE"""),"История создания – «Светлана»")</f>
        <v>История создания – «Светлана»</v>
      </c>
      <c r="D60" s="1">
        <f>IFERROR(__xludf.DUMMYFUNCTION("""COMPUTED_VALUE"""),159.0)</f>
        <v>159</v>
      </c>
      <c r="E60" s="1" t="str">
        <f>IFERROR(__xludf.DUMMYFUNCTION("""COMPUTED_VALUE"""),"Маша Миронова")</f>
        <v>Маша Миронова</v>
      </c>
      <c r="F60" s="1">
        <f>IFERROR(__xludf.DUMMYFUNCTION("""COMPUTED_VALUE"""),259.0)</f>
        <v>259</v>
      </c>
      <c r="G60" s="1" t="str">
        <f>IFERROR(__xludf.DUMMYFUNCTION("""COMPUTED_VALUE"""),"Мери")</f>
        <v>Мери</v>
      </c>
      <c r="H60" s="1">
        <f>IFERROR(__xludf.DUMMYFUNCTION("""COMPUTED_VALUE"""),359.0)</f>
        <v>359</v>
      </c>
      <c r="I60" s="1" t="str">
        <f>IFERROR(__xludf.DUMMYFUNCTION("""COMPUTED_VALUE"""),"Тургенев И.С. — «Дворянское гнездо»")</f>
        <v>Тургенев И.С. — «Дворянское гнездо»</v>
      </c>
      <c r="J60" s="1">
        <f>IFERROR(__xludf.DUMMYFUNCTION("""COMPUTED_VALUE"""),459.0)</f>
        <v>459</v>
      </c>
      <c r="K60" s="1" t="str">
        <f>IFERROR(__xludf.DUMMYFUNCTION("""COMPUTED_VALUE"""),"Сюжет и композиция «Обломов»")</f>
        <v>Сюжет и композиция «Обломов»</v>
      </c>
      <c r="L60" s="1">
        <f>IFERROR(__xludf.DUMMYFUNCTION("""COMPUTED_VALUE"""),559.0)</f>
        <v>559</v>
      </c>
      <c r="M60" s="1" t="str">
        <f>IFERROR(__xludf.DUMMYFUNCTION("""COMPUTED_VALUE"""),"Мечтатель ")</f>
        <v>Мечтатель </v>
      </c>
      <c r="N60" s="1">
        <f>IFERROR(__xludf.DUMMYFUNCTION("""COMPUTED_VALUE"""),659.0)</f>
        <v>659</v>
      </c>
      <c r="O60" s="1" t="str">
        <f>IFERROR(__xludf.DUMMYFUNCTION("""COMPUTED_VALUE"""),"Хлебников В.В.")</f>
        <v>Хлебников В.В.</v>
      </c>
      <c r="P60" s="1">
        <f>IFERROR(__xludf.DUMMYFUNCTION("""COMPUTED_VALUE"""),791.0)</f>
        <v>791</v>
      </c>
      <c r="Q60" s="1" t="str">
        <f>IFERROR(__xludf.DUMMYFUNCTION("""COMPUTED_VALUE"""),"Цветаева М.И. – «Кто создан из камня, кто создан из глины…»")</f>
        <v>Цветаева М.И. – «Кто создан из камня, кто создан из глины…»</v>
      </c>
      <c r="R60" s="1">
        <f>IFERROR(__xludf.DUMMYFUNCTION("""COMPUTED_VALUE"""),859.0)</f>
        <v>859</v>
      </c>
      <c r="S60" s="1"/>
      <c r="T60" s="1"/>
      <c r="U60" s="1" t="str">
        <f>IFERROR(__xludf.DUMMYFUNCTION("""COMPUTED_VALUE"""),"Любить иных - тяжелый крест...: анализ произведения")</f>
        <v>Любить иных - тяжелый крест...: анализ произведения</v>
      </c>
      <c r="V60" s="1">
        <f>IFERROR(__xludf.DUMMYFUNCTION("""COMPUTED_VALUE"""),1059.0)</f>
        <v>1059</v>
      </c>
      <c r="W60" s="1"/>
      <c r="X60" s="1"/>
      <c r="Y60" s="1" t="str">
        <f>IFERROR(__xludf.DUMMYFUNCTION("""COMPUTED_VALUE"""),"Писать сочинения на литературные темы")</f>
        <v>Писать сочинения на литературные темы</v>
      </c>
      <c r="Z60" s="1">
        <f>IFERROR(__xludf.DUMMYFUNCTION("""COMPUTED_VALUE"""),1259.0)</f>
        <v>1259</v>
      </c>
    </row>
    <row r="61">
      <c r="A61" s="1" t="str">
        <f>IFERROR(__xludf.DUMMYFUNCTION("""COMPUTED_VALUE"""),"Творительное сравнение")</f>
        <v>Творительное сравнение</v>
      </c>
      <c r="B61" s="1">
        <f>IFERROR(__xludf.DUMMYFUNCTION("""COMPUTED_VALUE"""),60.0)</f>
        <v>60</v>
      </c>
      <c r="C61" s="1" t="str">
        <f>IFERROR(__xludf.DUMMYFUNCTION("""COMPUTED_VALUE"""),"Сюжет – «Светлана»")</f>
        <v>Сюжет – «Светлана»</v>
      </c>
      <c r="D61" s="1">
        <f>IFERROR(__xludf.DUMMYFUNCTION("""COMPUTED_VALUE"""),160.0)</f>
        <v>160</v>
      </c>
      <c r="E61" s="1" t="str">
        <f>IFERROR(__xludf.DUMMYFUNCTION("""COMPUTED_VALUE"""),"Емельян Пугачёв")</f>
        <v>Емельян Пугачёв</v>
      </c>
      <c r="F61" s="1">
        <f>IFERROR(__xludf.DUMMYFUNCTION("""COMPUTED_VALUE"""),260.0)</f>
        <v>260</v>
      </c>
      <c r="G61" s="1" t="str">
        <f>IFERROR(__xludf.DUMMYFUNCTION("""COMPUTED_VALUE"""),"Вера")</f>
        <v>Вера</v>
      </c>
      <c r="H61" s="1">
        <f>IFERROR(__xludf.DUMMYFUNCTION("""COMPUTED_VALUE"""),360.0)</f>
        <v>360</v>
      </c>
      <c r="I61" s="1" t="str">
        <f>IFERROR(__xludf.DUMMYFUNCTION("""COMPUTED_VALUE"""),"Особенности произведения «Дворянское гнездо»")</f>
        <v>Особенности произведения «Дворянское гнездо»</v>
      </c>
      <c r="J61" s="1">
        <f>IFERROR(__xludf.DUMMYFUNCTION("""COMPUTED_VALUE"""),460.0)</f>
        <v>460</v>
      </c>
      <c r="K61" s="1" t="str">
        <f>IFERROR(__xludf.DUMMYFUNCTION("""COMPUTED_VALUE"""),"Два сюжетных узла романа «Обломов»")</f>
        <v>Два сюжетных узла романа «Обломов»</v>
      </c>
      <c r="L61" s="1">
        <f>IFERROR(__xludf.DUMMYFUNCTION("""COMPUTED_VALUE"""),560.0)</f>
        <v>560</v>
      </c>
      <c r="M61" s="1" t="str">
        <f>IFERROR(__xludf.DUMMYFUNCTION("""COMPUTED_VALUE"""),"Настенька")</f>
        <v>Настенька</v>
      </c>
      <c r="N61" s="1">
        <f>IFERROR(__xludf.DUMMYFUNCTION("""COMPUTED_VALUE"""),660.0)</f>
        <v>660</v>
      </c>
      <c r="O61" s="1" t="str">
        <f>IFERROR(__xludf.DUMMYFUNCTION("""COMPUTED_VALUE"""),"Брюсов В.Я.")</f>
        <v>Брюсов В.Я.</v>
      </c>
      <c r="P61" s="1">
        <f>IFERROR(__xludf.DUMMYFUNCTION("""COMPUTED_VALUE"""),792.0)</f>
        <v>792</v>
      </c>
      <c r="Q61" s="1" t="str">
        <f>IFERROR(__xludf.DUMMYFUNCTION("""COMPUTED_VALUE"""),"Цветаева М.И. – «Тоска по родине! Давно…»")</f>
        <v>Цветаева М.И. – «Тоска по родине! Давно…»</v>
      </c>
      <c r="R61" s="1">
        <f>IFERROR(__xludf.DUMMYFUNCTION("""COMPUTED_VALUE"""),860.0)</f>
        <v>860</v>
      </c>
      <c r="S61" s="1"/>
      <c r="T61" s="1"/>
      <c r="U61" s="1" t="str">
        <f>IFERROR(__xludf.DUMMYFUNCTION("""COMPUTED_VALUE"""),"Сосны: анализ произведения")</f>
        <v>Сосны: анализ произведения</v>
      </c>
      <c r="V61" s="1">
        <f>IFERROR(__xludf.DUMMYFUNCTION("""COMPUTED_VALUE"""),1060.0)</f>
        <v>1060</v>
      </c>
      <c r="W61" s="1"/>
      <c r="X61" s="1"/>
      <c r="Y6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Z61" s="1">
        <f>IFERROR(__xludf.DUMMYFUNCTION("""COMPUTED_VALUE"""),1260.0)</f>
        <v>1260</v>
      </c>
    </row>
    <row r="62">
      <c r="A62" s="1" t="str">
        <f>IFERROR(__xludf.DUMMYFUNCTION("""COMPUTED_VALUE"""),"Эпитет")</f>
        <v>Эпитет</v>
      </c>
      <c r="B62" s="1">
        <f>IFERROR(__xludf.DUMMYFUNCTION("""COMPUTED_VALUE"""),61.0)</f>
        <v>61</v>
      </c>
      <c r="C62" s="1" t="str">
        <f>IFERROR(__xludf.DUMMYFUNCTION("""COMPUTED_VALUE"""),"Литературное направление – «Светлана»")</f>
        <v>Литературное направление – «Светлана»</v>
      </c>
      <c r="D62" s="1">
        <f>IFERROR(__xludf.DUMMYFUNCTION("""COMPUTED_VALUE"""),161.0)</f>
        <v>161</v>
      </c>
      <c r="E62" s="1" t="str">
        <f>IFERROR(__xludf.DUMMYFUNCTION("""COMPUTED_VALUE"""),"Екатерина II")</f>
        <v>Екатерина II</v>
      </c>
      <c r="F62" s="1">
        <f>IFERROR(__xludf.DUMMYFUNCTION("""COMPUTED_VALUE"""),261.0)</f>
        <v>261</v>
      </c>
      <c r="G62" s="1" t="str">
        <f>IFERROR(__xludf.DUMMYFUNCTION("""COMPUTED_VALUE"""),"«Журнал Печорина»/«Фаталист»")</f>
        <v>«Журнал Печорина»/«Фаталист»</v>
      </c>
      <c r="H62" s="1">
        <f>IFERROR(__xludf.DUMMYFUNCTION("""COMPUTED_VALUE"""),361.0)</f>
        <v>361</v>
      </c>
      <c r="I62" s="1" t="str">
        <f>IFERROR(__xludf.DUMMYFUNCTION("""COMPUTED_VALUE"""),"Герои «Дворянское гнездо»")</f>
        <v>Герои «Дворянское гнездо»</v>
      </c>
      <c r="J62" s="1">
        <f>IFERROR(__xludf.DUMMYFUNCTION("""COMPUTED_VALUE"""),461.0)</f>
        <v>461</v>
      </c>
      <c r="K62" s="1" t="str">
        <f>IFERROR(__xludf.DUMMYFUNCTION("""COMPUTED_VALUE"""),"«Сон Обломова»")</f>
        <v>«Сон Обломова»</v>
      </c>
      <c r="L62" s="1">
        <f>IFERROR(__xludf.DUMMYFUNCTION("""COMPUTED_VALUE"""),561.0)</f>
        <v>561</v>
      </c>
      <c r="M62" s="1" t="str">
        <f>IFERROR(__xludf.DUMMYFUNCTION("""COMPUTED_VALUE"""),"Мотив первой любви «Белые ночи»")</f>
        <v>Мотив первой любви «Белые ночи»</v>
      </c>
      <c r="N62" s="1">
        <f>IFERROR(__xludf.DUMMYFUNCTION("""COMPUTED_VALUE"""),661.0)</f>
        <v>661</v>
      </c>
      <c r="O62" s="1"/>
      <c r="P62" s="1"/>
      <c r="Q62" s="1" t="str">
        <f>IFERROR(__xludf.DUMMYFUNCTION("""COMPUTED_VALUE"""),"Цветаева М.И. – «Книги в красном переплете»")</f>
        <v>Цветаева М.И. – «Книги в красном переплете»</v>
      </c>
      <c r="R62" s="1">
        <f>IFERROR(__xludf.DUMMYFUNCTION("""COMPUTED_VALUE"""),861.0)</f>
        <v>861</v>
      </c>
      <c r="S62" s="1"/>
      <c r="T62" s="1"/>
      <c r="U62" s="1" t="str">
        <f>IFERROR(__xludf.DUMMYFUNCTION("""COMPUTED_VALUE"""),"Иней: анализ произведения")</f>
        <v>Иней: анализ произведения</v>
      </c>
      <c r="V62" s="1">
        <f>IFERROR(__xludf.DUMMYFUNCTION("""COMPUTED_VALUE"""),1061.0)</f>
        <v>1061</v>
      </c>
      <c r="W62" s="1"/>
      <c r="X62" s="1"/>
      <c r="Y6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Z62" s="1">
        <f>IFERROR(__xludf.DUMMYFUNCTION("""COMPUTED_VALUE"""),1261.0)</f>
        <v>1261</v>
      </c>
    </row>
    <row r="63">
      <c r="A63" s="1" t="str">
        <f>IFERROR(__xludf.DUMMYFUNCTION("""COMPUTED_VALUE"""),"Олицетворение")</f>
        <v>Олицетворение</v>
      </c>
      <c r="B63" s="1">
        <f>IFERROR(__xludf.DUMMYFUNCTION("""COMPUTED_VALUE"""),62.0)</f>
        <v>62</v>
      </c>
      <c r="C63" s="1" t="str">
        <f>IFERROR(__xludf.DUMMYFUNCTION("""COMPUTED_VALUE"""),"Символика русского фольклора – «Светлана»")</f>
        <v>Символика русского фольклора – «Светлана»</v>
      </c>
      <c r="D63" s="1">
        <f>IFERROR(__xludf.DUMMYFUNCTION("""COMPUTED_VALUE"""),162.0)</f>
        <v>162</v>
      </c>
      <c r="E63" s="1" t="str">
        <f>IFERROR(__xludf.DUMMYFUNCTION("""COMPUTED_VALUE"""),"Алексей Швабрин")</f>
        <v>Алексей Швабрин</v>
      </c>
      <c r="F63" s="1">
        <f>IFERROR(__xludf.DUMMYFUNCTION("""COMPUTED_VALUE"""),262.0)</f>
        <v>262</v>
      </c>
      <c r="G63" s="1" t="str">
        <f>IFERROR(__xludf.DUMMYFUNCTION("""COMPUTED_VALUE"""),"Вера в предопределение «Герой нашего времени»")</f>
        <v>Вера в предопределение «Герой нашего времени»</v>
      </c>
      <c r="H63" s="1">
        <f>IFERROR(__xludf.DUMMYFUNCTION("""COMPUTED_VALUE"""),362.0)</f>
        <v>362</v>
      </c>
      <c r="I63" s="1" t="str">
        <f>IFERROR(__xludf.DUMMYFUNCTION("""COMPUTED_VALUE"""),"Причины/Сходства «Дворянское гнездо»")</f>
        <v>Причины/Сходства «Дворянское гнездо»</v>
      </c>
      <c r="J63" s="1">
        <f>IFERROR(__xludf.DUMMYFUNCTION("""COMPUTED_VALUE"""),462.0)</f>
        <v>462</v>
      </c>
      <c r="K63" s="1" t="str">
        <f>IFERROR(__xludf.DUMMYFUNCTION("""COMPUTED_VALUE"""),"Обломовка")</f>
        <v>Обломовка</v>
      </c>
      <c r="L63" s="1">
        <f>IFERROR(__xludf.DUMMYFUNCTION("""COMPUTED_VALUE"""),562.0)</f>
        <v>562</v>
      </c>
      <c r="M63" s="1" t="str">
        <f>IFERROR(__xludf.DUMMYFUNCTION("""COMPUTED_VALUE"""),"Лесков Н.С. ""Очарованный странник"": особенности произведения")</f>
        <v>Лесков Н.С. "Очарованный странник": особенности произведения</v>
      </c>
      <c r="N63" s="1">
        <f>IFERROR(__xludf.DUMMYFUNCTION("""COMPUTED_VALUE"""),662.0)</f>
        <v>662</v>
      </c>
      <c r="O63" s="1"/>
      <c r="P63" s="1"/>
      <c r="Q63" s="1" t="str">
        <f>IFERROR(__xludf.DUMMYFUNCTION("""COMPUTED_VALUE"""),"Цветаева М.И. – «Бабушке»")</f>
        <v>Цветаева М.И. – «Бабушке»</v>
      </c>
      <c r="R63" s="1">
        <f>IFERROR(__xludf.DUMMYFUNCTION("""COMPUTED_VALUE"""),862.0)</f>
        <v>862</v>
      </c>
      <c r="S63" s="1"/>
      <c r="T63" s="1"/>
      <c r="U63" s="1" t="str">
        <f>IFERROR(__xludf.DUMMYFUNCTION("""COMPUTED_VALUE"""),"Июль: анализ произведения")</f>
        <v>Июль: анализ произведения</v>
      </c>
      <c r="V63" s="1">
        <f>IFERROR(__xludf.DUMMYFUNCTION("""COMPUTED_VALUE"""),1062.0)</f>
        <v>1062</v>
      </c>
      <c r="W63" s="1"/>
      <c r="X63" s="1"/>
      <c r="Y63" s="1" t="str">
        <f>IFERROR(__xludf.DUMMYFUNCTION("""COMPUTED_VALUE"""),"Комментирование авторских высказываний на различные темы ")</f>
        <v>Комментирование авторских высказываний на различные темы </v>
      </c>
      <c r="Z63" s="1">
        <f>IFERROR(__xludf.DUMMYFUNCTION("""COMPUTED_VALUE"""),1262.0)</f>
        <v>1262</v>
      </c>
    </row>
    <row r="64">
      <c r="A64" s="1" t="str">
        <f>IFERROR(__xludf.DUMMYFUNCTION("""COMPUTED_VALUE"""),"Метафора")</f>
        <v>Метафора</v>
      </c>
      <c r="B64" s="1">
        <f>IFERROR(__xludf.DUMMYFUNCTION("""COMPUTED_VALUE"""),63.0)</f>
        <v>63</v>
      </c>
      <c r="C64" s="1" t="str">
        <f>IFERROR(__xludf.DUMMYFUNCTION("""COMPUTED_VALUE"""),"Художественные средства — яркие эпитеты – «Светлана»")</f>
        <v>Художественные средства — яркие эпитеты – «Светлана»</v>
      </c>
      <c r="D64" s="1">
        <f>IFERROR(__xludf.DUMMYFUNCTION("""COMPUTED_VALUE"""),163.0)</f>
        <v>163</v>
      </c>
      <c r="E64" s="1" t="str">
        <f>IFERROR(__xludf.DUMMYFUNCTION("""COMPUTED_VALUE"""),"Савельич")</f>
        <v>Савельич</v>
      </c>
      <c r="F64" s="1">
        <f>IFERROR(__xludf.DUMMYFUNCTION("""COMPUTED_VALUE"""),263.0)</f>
        <v>263</v>
      </c>
      <c r="G64" s="1" t="str">
        <f>IFERROR(__xludf.DUMMYFUNCTION("""COMPUTED_VALUE"""),"Черты реализма «Герой нашего времени»")</f>
        <v>Черты реализма «Герой нашего времени»</v>
      </c>
      <c r="H64" s="1">
        <f>IFERROR(__xludf.DUMMYFUNCTION("""COMPUTED_VALUE"""),363.0)</f>
        <v>363</v>
      </c>
      <c r="I64" s="1" t="str">
        <f>IFERROR(__xludf.DUMMYFUNCTION("""COMPUTED_VALUE"""),"Тургенев И.С. — «Накануне»")</f>
        <v>Тургенев И.С. — «Накануне»</v>
      </c>
      <c r="J64" s="1">
        <f>IFERROR(__xludf.DUMMYFUNCTION("""COMPUTED_VALUE"""),463.0)</f>
        <v>463</v>
      </c>
      <c r="K64" s="1" t="str">
        <f>IFERROR(__xludf.DUMMYFUNCTION("""COMPUTED_VALUE"""),"Илья Ильич Обломов")</f>
        <v>Илья Ильич Обломов</v>
      </c>
      <c r="L64" s="1">
        <f>IFERROR(__xludf.DUMMYFUNCTION("""COMPUTED_VALUE"""),563.0)</f>
        <v>563</v>
      </c>
      <c r="M64" s="1" t="str">
        <f>IFERROR(__xludf.DUMMYFUNCTION("""COMPUTED_VALUE"""),"Очарованный странник: темы, идеи")</f>
        <v>Очарованный странник: темы, идеи</v>
      </c>
      <c r="N64" s="1">
        <f>IFERROR(__xludf.DUMMYFUNCTION("""COMPUTED_VALUE"""),663.0)</f>
        <v>663</v>
      </c>
      <c r="O64" s="1"/>
      <c r="P64" s="1"/>
      <c r="Q64" s="1" t="str">
        <f>IFERROR(__xludf.DUMMYFUNCTION("""COMPUTED_VALUE"""),"Цветаева М.И. – «Семь холмов - как семь колоколов!..»")</f>
        <v>Цветаева М.И. – «Семь холмов - как семь колоколов!..»</v>
      </c>
      <c r="R64" s="1">
        <f>IFERROR(__xludf.DUMMYFUNCTION("""COMPUTED_VALUE"""),863.0)</f>
        <v>863</v>
      </c>
      <c r="S64" s="1"/>
      <c r="T64" s="1"/>
      <c r="U64" s="1" t="str">
        <f>IFERROR(__xludf.DUMMYFUNCTION("""COMPUTED_VALUE"""),"Никого не будет в доме...: анализ произведения")</f>
        <v>Никого не будет в доме...: анализ произведения</v>
      </c>
      <c r="V64" s="1">
        <f>IFERROR(__xludf.DUMMYFUNCTION("""COMPUTED_VALUE"""),1063.0)</f>
        <v>1063</v>
      </c>
      <c r="W64" s="1"/>
      <c r="X64" s="1"/>
      <c r="Y64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Z64" s="1">
        <f>IFERROR(__xludf.DUMMYFUNCTION("""COMPUTED_VALUE"""),1263.0)</f>
        <v>1263</v>
      </c>
    </row>
    <row r="65">
      <c r="A65" s="1" t="str">
        <f>IFERROR(__xludf.DUMMYFUNCTION("""COMPUTED_VALUE"""),"Метонимия")</f>
        <v>Метонимия</v>
      </c>
      <c r="B65" s="1">
        <f>IFERROR(__xludf.DUMMYFUNCTION("""COMPUTED_VALUE"""),64.0)</f>
        <v>64</v>
      </c>
      <c r="C65" s="1" t="str">
        <f>IFERROR(__xludf.DUMMYFUNCTION("""COMPUTED_VALUE"""),"Стиль баллады – «Светлана»")</f>
        <v>Стиль баллады – «Светлана»</v>
      </c>
      <c r="D65" s="1">
        <f>IFERROR(__xludf.DUMMYFUNCTION("""COMPUTED_VALUE"""),164.0)</f>
        <v>164</v>
      </c>
      <c r="E65" s="1" t="str">
        <f>IFERROR(__xludf.DUMMYFUNCTION("""COMPUTED_VALUE"""),"Система эпиграфов «Капитанская дочка»")</f>
        <v>Система эпиграфов «Капитанская дочка»</v>
      </c>
      <c r="F65" s="1">
        <f>IFERROR(__xludf.DUMMYFUNCTION("""COMPUTED_VALUE"""),264.0)</f>
        <v>264</v>
      </c>
      <c r="G65" s="1" t="str">
        <f>IFERROR(__xludf.DUMMYFUNCTION("""COMPUTED_VALUE"""),"Черты романтизма «Герой нашего времени»")</f>
        <v>Черты романтизма «Герой нашего времени»</v>
      </c>
      <c r="H65" s="1">
        <f>IFERROR(__xludf.DUMMYFUNCTION("""COMPUTED_VALUE"""),364.0)</f>
        <v>364</v>
      </c>
      <c r="I65" s="1" t="str">
        <f>IFERROR(__xludf.DUMMYFUNCTION("""COMPUTED_VALUE"""),"Особенности произведения «Накануне»")</f>
        <v>Особенности произведения «Накануне»</v>
      </c>
      <c r="J65" s="1">
        <f>IFERROR(__xludf.DUMMYFUNCTION("""COMPUTED_VALUE"""),464.0)</f>
        <v>464</v>
      </c>
      <c r="K65" s="1" t="str">
        <f>IFERROR(__xludf.DUMMYFUNCTION("""COMPUTED_VALUE"""),"Андрей Иванович Штольц")</f>
        <v>Андрей Иванович Штольц</v>
      </c>
      <c r="L65" s="1">
        <f>IFERROR(__xludf.DUMMYFUNCTION("""COMPUTED_VALUE"""),564.0)</f>
        <v>564</v>
      </c>
      <c r="M65" s="1" t="str">
        <f>IFERROR(__xludf.DUMMYFUNCTION("""COMPUTED_VALUE"""),"Очарованный странник: сюжет и композиция")</f>
        <v>Очарованный странник: сюжет и композиция</v>
      </c>
      <c r="N65" s="1">
        <f>IFERROR(__xludf.DUMMYFUNCTION("""COMPUTED_VALUE"""),664.0)</f>
        <v>664</v>
      </c>
      <c r="O65" s="1"/>
      <c r="P65" s="1"/>
      <c r="Q65" s="1" t="str">
        <f>IFERROR(__xludf.DUMMYFUNCTION("""COMPUTED_VALUE"""),"Биография Мандельштама О.Э.")</f>
        <v>Биография Мандельштама О.Э.</v>
      </c>
      <c r="R65" s="1">
        <f>IFERROR(__xludf.DUMMYFUNCTION("""COMPUTED_VALUE"""),864.0)</f>
        <v>864</v>
      </c>
      <c r="S65" s="1"/>
      <c r="T65" s="1"/>
      <c r="U65" s="1" t="str">
        <f>IFERROR(__xludf.DUMMYFUNCTION("""COMPUTED_VALUE"""),"Платонов А.П.  ""Котлован"": особенности произведения")</f>
        <v>Платонов А.П.  "Котлован": особенности произведения</v>
      </c>
      <c r="V65" s="1">
        <f>IFERROR(__xludf.DUMMYFUNCTION("""COMPUTED_VALUE"""),1064.0)</f>
        <v>1064</v>
      </c>
      <c r="W65" s="1"/>
      <c r="X65" s="1"/>
      <c r="Y65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Z65" s="1">
        <f>IFERROR(__xludf.DUMMYFUNCTION("""COMPUTED_VALUE"""),1264.0)</f>
        <v>1264</v>
      </c>
    </row>
    <row r="66">
      <c r="A66" s="1" t="str">
        <f>IFERROR(__xludf.DUMMYFUNCTION("""COMPUTED_VALUE"""),"Гипербола")</f>
        <v>Гипербола</v>
      </c>
      <c r="B66" s="1">
        <f>IFERROR(__xludf.DUMMYFUNCTION("""COMPUTED_VALUE"""),65.0)</f>
        <v>65</v>
      </c>
      <c r="C66" s="1" t="str">
        <f>IFERROR(__xludf.DUMMYFUNCTION("""COMPUTED_VALUE"""),"Темы произведения – «Светлана»")</f>
        <v>Темы произведения – «Светлана»</v>
      </c>
      <c r="D66" s="1">
        <f>IFERROR(__xludf.DUMMYFUNCTION("""COMPUTED_VALUE"""),165.0)</f>
        <v>165</v>
      </c>
      <c r="E66" s="1" t="str">
        <f>IFERROR(__xludf.DUMMYFUNCTION("""COMPUTED_VALUE"""),"Два мира в романе «Капитанская дочка»")</f>
        <v>Два мира в романе «Капитанская дочка»</v>
      </c>
      <c r="F66" s="1">
        <f>IFERROR(__xludf.DUMMYFUNCTION("""COMPUTED_VALUE"""),265.0)</f>
        <v>265</v>
      </c>
      <c r="G66" s="1" t="str">
        <f>IFERROR(__xludf.DUMMYFUNCTION("""COMPUTED_VALUE""")," ""Творчество Гоголя Н.В.""")</f>
        <v> "Творчество Гоголя Н.В."</v>
      </c>
      <c r="H66" s="1">
        <f>IFERROR(__xludf.DUMMYFUNCTION("""COMPUTED_VALUE"""),365.0)</f>
        <v>365</v>
      </c>
      <c r="I66" s="1" t="str">
        <f>IFERROR(__xludf.DUMMYFUNCTION("""COMPUTED_VALUE"""),"Образ Елены")</f>
        <v>Образ Елены</v>
      </c>
      <c r="J66" s="1">
        <f>IFERROR(__xludf.DUMMYFUNCTION("""COMPUTED_VALUE"""),465.0)</f>
        <v>465</v>
      </c>
      <c r="K66" s="1" t="str">
        <f>IFERROR(__xludf.DUMMYFUNCTION("""COMPUTED_VALUE"""),"Ольга Ильинская")</f>
        <v>Ольга Ильинская</v>
      </c>
      <c r="L66" s="1">
        <f>IFERROR(__xludf.DUMMYFUNCTION("""COMPUTED_VALUE"""),565.0)</f>
        <v>565</v>
      </c>
      <c r="M66" s="1" t="str">
        <f>IFERROR(__xludf.DUMMYFUNCTION("""COMPUTED_VALUE"""),"Очарованный странник: основные образы")</f>
        <v>Очарованный странник: основные образы</v>
      </c>
      <c r="N66" s="1">
        <f>IFERROR(__xludf.DUMMYFUNCTION("""COMPUTED_VALUE"""),665.0)</f>
        <v>665</v>
      </c>
      <c r="O66" s="1"/>
      <c r="P66" s="1"/>
      <c r="Q66" s="1" t="str">
        <f>IFERROR(__xludf.DUMMYFUNCTION("""COMPUTED_VALUE"""),"Мандельштам О.Э. ""Notre Dame"": анализ произведения")</f>
        <v>Мандельштам О.Э. "Notre Dame": анализ произведения</v>
      </c>
      <c r="R66" s="1">
        <f>IFERROR(__xludf.DUMMYFUNCTION("""COMPUTED_VALUE"""),865.0)</f>
        <v>865</v>
      </c>
      <c r="S66" s="1"/>
      <c r="T66" s="1"/>
      <c r="U66" s="1" t="str">
        <f>IFERROR(__xludf.DUMMYFUNCTION("""COMPUTED_VALUE"""),"Темы, идеи ""Котлован""")</f>
        <v>Темы, идеи "Котлован"</v>
      </c>
      <c r="V66" s="1">
        <f>IFERROR(__xludf.DUMMYFUNCTION("""COMPUTED_VALUE"""),1065.0)</f>
        <v>1065</v>
      </c>
      <c r="W66" s="1"/>
      <c r="X66" s="1"/>
      <c r="Y66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Z66" s="1">
        <f>IFERROR(__xludf.DUMMYFUNCTION("""COMPUTED_VALUE"""),1265.0)</f>
        <v>1265</v>
      </c>
    </row>
    <row r="67">
      <c r="A67" s="1" t="str">
        <f>IFERROR(__xludf.DUMMYFUNCTION("""COMPUTED_VALUE"""),"Литота")</f>
        <v>Литота</v>
      </c>
      <c r="B67" s="1">
        <f>IFERROR(__xludf.DUMMYFUNCTION("""COMPUTED_VALUE"""),66.0)</f>
        <v>66</v>
      </c>
      <c r="C67" s="1" t="str">
        <f>IFERROR(__xludf.DUMMYFUNCTION("""COMPUTED_VALUE"""),"Сон Светланы")</f>
        <v>Сон Светланы</v>
      </c>
      <c r="D67" s="1">
        <f>IFERROR(__xludf.DUMMYFUNCTION("""COMPUTED_VALUE"""),166.0)</f>
        <v>166</v>
      </c>
      <c r="E67" s="1" t="str">
        <f>IFERROR(__xludf.DUMMYFUNCTION("""COMPUTED_VALUE"""),"Почему «Капитанская дочка»?")</f>
        <v>Почему «Капитанская дочка»?</v>
      </c>
      <c r="F67" s="1">
        <f>IFERROR(__xludf.DUMMYFUNCTION("""COMPUTED_VALUE"""),266.0)</f>
        <v>266</v>
      </c>
      <c r="G67" s="1" t="str">
        <f>IFERROR(__xludf.DUMMYFUNCTION("""COMPUTED_VALUE"""),"Гоголь Н.В. — «Ревизор»: особенности произведения")</f>
        <v>Гоголь Н.В. — «Ревизор»: особенности произведения</v>
      </c>
      <c r="H67" s="1">
        <f>IFERROR(__xludf.DUMMYFUNCTION("""COMPUTED_VALUE"""),366.0)</f>
        <v>366</v>
      </c>
      <c r="I67" s="1" t="str">
        <f>IFERROR(__xludf.DUMMYFUNCTION("""COMPUTED_VALUE"""),"Тургенев И.С. — «Новь»")</f>
        <v>Тургенев И.С. — «Новь»</v>
      </c>
      <c r="J67" s="1">
        <f>IFERROR(__xludf.DUMMYFUNCTION("""COMPUTED_VALUE"""),466.0)</f>
        <v>466</v>
      </c>
      <c r="K67" s="1" t="str">
        <f>IFERROR(__xludf.DUMMYFUNCTION("""COMPUTED_VALUE"""),"Агафья Матвеевна Пшеницына")</f>
        <v>Агафья Матвеевна Пшеницына</v>
      </c>
      <c r="L67" s="1">
        <f>IFERROR(__xludf.DUMMYFUNCTION("""COMPUTED_VALUE"""),566.0)</f>
        <v>566</v>
      </c>
      <c r="M67" s="1" t="str">
        <f>IFERROR(__xludf.DUMMYFUNCTION("""COMPUTED_VALUE"""),"Лесков Н.С. ""Левша"": особенности произведения")</f>
        <v>Лесков Н.С. "Левша": особенности произведения</v>
      </c>
      <c r="N67" s="1">
        <f>IFERROR(__xludf.DUMMYFUNCTION("""COMPUTED_VALUE"""),666.0)</f>
        <v>666</v>
      </c>
      <c r="O67" s="1"/>
      <c r="P67" s="1"/>
      <c r="Q67" s="1" t="str">
        <f>IFERROR(__xludf.DUMMYFUNCTION("""COMPUTED_VALUE"""),"Мандельштам О.Э. ""Бессонница. Гомер. Тугие паруса..."": анализ произведения")</f>
        <v>Мандельштам О.Э. "Бессонница. Гомер. Тугие паруса...": анализ произведения</v>
      </c>
      <c r="R67" s="1">
        <f>IFERROR(__xludf.DUMMYFUNCTION("""COMPUTED_VALUE"""),866.0)</f>
        <v>866</v>
      </c>
      <c r="S67" s="1"/>
      <c r="T67" s="1"/>
      <c r="U67" s="1" t="str">
        <f>IFERROR(__xludf.DUMMYFUNCTION("""COMPUTED_VALUE"""),"Исторический контекст ""Котлован""")</f>
        <v>Исторический контекст "Котлован"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 t="str">
        <f>IFERROR(__xludf.DUMMYFUNCTION("""COMPUTED_VALUE"""),"Аллегория")</f>
        <v>Аллегория</v>
      </c>
      <c r="B68" s="1">
        <f>IFERROR(__xludf.DUMMYFUNCTION("""COMPUTED_VALUE"""),67.0)</f>
        <v>67</v>
      </c>
      <c r="C68" s="1" t="str">
        <f>IFERROR(__xludf.DUMMYFUNCTION("""COMPUTED_VALUE"""),"Жуковский В.А. – «Море»")</f>
        <v>Жуковский В.А. – «Море»</v>
      </c>
      <c r="D68" s="1">
        <f>IFERROR(__xludf.DUMMYFUNCTION("""COMPUTED_VALUE"""),167.0)</f>
        <v>167</v>
      </c>
      <c r="E68" s="1" t="str">
        <f>IFERROR(__xludf.DUMMYFUNCTION("""COMPUTED_VALUE"""),"«Медный всадник» — Пушкин А.С.")</f>
        <v>«Медный всадник» — Пушкин А.С.</v>
      </c>
      <c r="F68" s="1">
        <f>IFERROR(__xludf.DUMMYFUNCTION("""COMPUTED_VALUE"""),267.0)</f>
        <v>267</v>
      </c>
      <c r="G68" s="1" t="str">
        <f>IFERROR(__xludf.DUMMYFUNCTION("""COMPUTED_VALUE"""),"Николай I о постановке «Ревизор»")</f>
        <v>Николай I о постановке «Ревизор»</v>
      </c>
      <c r="H68" s="1">
        <f>IFERROR(__xludf.DUMMYFUNCTION("""COMPUTED_VALUE"""),367.0)</f>
        <v>367</v>
      </c>
      <c r="I68" s="1" t="str">
        <f>IFERROR(__xludf.DUMMYFUNCTION("""COMPUTED_VALUE"""),"Особенности произведения «Новь»")</f>
        <v>Особенности произведения «Новь»</v>
      </c>
      <c r="J68" s="1">
        <f>IFERROR(__xludf.DUMMYFUNCTION("""COMPUTED_VALUE"""),467.0)</f>
        <v>467</v>
      </c>
      <c r="K68" s="1" t="str">
        <f>IFERROR(__xludf.DUMMYFUNCTION("""COMPUTED_VALUE"""),"Захар Трофимыч")</f>
        <v>Захар Трофимыч</v>
      </c>
      <c r="L68" s="1">
        <f>IFERROR(__xludf.DUMMYFUNCTION("""COMPUTED_VALUE"""),567.0)</f>
        <v>567</v>
      </c>
      <c r="M68" s="1" t="str">
        <f>IFERROR(__xludf.DUMMYFUNCTION("""COMPUTED_VALUE"""),"Левша: темы, идеи")</f>
        <v>Левша: темы, идеи</v>
      </c>
      <c r="N68" s="1">
        <f>IFERROR(__xludf.DUMMYFUNCTION("""COMPUTED_VALUE"""),667.0)</f>
        <v>667</v>
      </c>
      <c r="O68" s="1"/>
      <c r="P68" s="1"/>
      <c r="Q68" s="1" t="str">
        <f>IFERROR(__xludf.DUMMYFUNCTION("""COMPUTED_VALUE"""),"Мандельштам О.Э. ""За гремучую доблесть грядущих веков..."": анализ произведения")</f>
        <v>Мандельштам О.Э. "За гремучую доблесть грядущих веков...": анализ произведения</v>
      </c>
      <c r="R68" s="1">
        <f>IFERROR(__xludf.DUMMYFUNCTION("""COMPUTED_VALUE"""),867.0)</f>
        <v>867</v>
      </c>
      <c r="S68" s="1"/>
      <c r="T68" s="1"/>
      <c r="U68" s="1" t="str">
        <f>IFERROR(__xludf.DUMMYFUNCTION("""COMPUTED_VALUE"""),"Сюжетно-композиционные особенности ""Котлован""")</f>
        <v>Сюжетно-композиционные особенности "Котлован"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 t="str">
        <f>IFERROR(__xludf.DUMMYFUNCTION("""COMPUTED_VALUE"""),"Перифраз")</f>
        <v>Перифраз</v>
      </c>
      <c r="B69" s="1">
        <f>IFERROR(__xludf.DUMMYFUNCTION("""COMPUTED_VALUE"""),68.0)</f>
        <v>68</v>
      </c>
      <c r="C69" s="1" t="str">
        <f>IFERROR(__xludf.DUMMYFUNCTION("""COMPUTED_VALUE"""),"Особенности стихотворения – «Море»")</f>
        <v>Особенности стихотворения – «Море»</v>
      </c>
      <c r="D69" s="1">
        <f>IFERROR(__xludf.DUMMYFUNCTION("""COMPUTED_VALUE"""),168.0)</f>
        <v>168</v>
      </c>
      <c r="E69" s="1" t="str">
        <f>IFERROR(__xludf.DUMMYFUNCTION("""COMPUTED_VALUE"""),"Особенности произведения «Медный всадник»")</f>
        <v>Особенности произведения «Медный всадник»</v>
      </c>
      <c r="F69" s="1">
        <f>IFERROR(__xludf.DUMMYFUNCTION("""COMPUTED_VALUE"""),268.0)</f>
        <v>268</v>
      </c>
      <c r="G69" s="1" t="str">
        <f>IFERROR(__xludf.DUMMYFUNCTION("""COMPUTED_VALUE"""),"Темы «Ревизор»")</f>
        <v>Темы «Ревизор»</v>
      </c>
      <c r="H69" s="1">
        <f>IFERROR(__xludf.DUMMYFUNCTION("""COMPUTED_VALUE"""),368.0)</f>
        <v>368</v>
      </c>
      <c r="I69" s="1" t="str">
        <f>IFERROR(__xludf.DUMMYFUNCTION("""COMPUTED_VALUE"""),"Герои «Новь»")</f>
        <v>Герои «Новь»</v>
      </c>
      <c r="J69" s="1">
        <f>IFERROR(__xludf.DUMMYFUNCTION("""COMPUTED_VALUE"""),468.0)</f>
        <v>468</v>
      </c>
      <c r="K69" s="1" t="str">
        <f>IFERROR(__xludf.DUMMYFUNCTION("""COMPUTED_VALUE"""),"Гости Обломова")</f>
        <v>Гости Обломова</v>
      </c>
      <c r="L69" s="1">
        <f>IFERROR(__xludf.DUMMYFUNCTION("""COMPUTED_VALUE"""),568.0)</f>
        <v>568</v>
      </c>
      <c r="M69" s="1" t="str">
        <f>IFERROR(__xludf.DUMMYFUNCTION("""COMPUTED_VALUE"""),"Левша: основные образы")</f>
        <v>Левша: основные образы</v>
      </c>
      <c r="N69" s="1">
        <f>IFERROR(__xludf.DUMMYFUNCTION("""COMPUTED_VALUE"""),668.0)</f>
        <v>668</v>
      </c>
      <c r="O69" s="1"/>
      <c r="P69" s="1"/>
      <c r="Q69" s="1" t="str">
        <f>IFERROR(__xludf.DUMMYFUNCTION("""COMPUTED_VALUE"""),"Мандельштам О.Э. ""Ленинград"": анализ произведения")</f>
        <v>Мандельштам О.Э. "Ленинград": анализ произведения</v>
      </c>
      <c r="R69" s="1">
        <f>IFERROR(__xludf.DUMMYFUNCTION("""COMPUTED_VALUE"""),868.0)</f>
        <v>868</v>
      </c>
      <c r="S69" s="1"/>
      <c r="T69" s="1"/>
      <c r="U69" s="1" t="str">
        <f>IFERROR(__xludf.DUMMYFUNCTION("""COMPUTED_VALUE"""),"Система образов ""Котлован""")</f>
        <v>Система образов "Котлован"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 t="str">
        <f>IFERROR(__xludf.DUMMYFUNCTION("""COMPUTED_VALUE"""),"Оксюморон")</f>
        <v>Оксюморон</v>
      </c>
      <c r="B70" s="1">
        <f>IFERROR(__xludf.DUMMYFUNCTION("""COMPUTED_VALUE"""),69.0)</f>
        <v>69</v>
      </c>
      <c r="C70" s="1" t="str">
        <f>IFERROR(__xludf.DUMMYFUNCTION("""COMPUTED_VALUE"""),"Черты романтизма – «Море»")</f>
        <v>Черты романтизма – «Море»</v>
      </c>
      <c r="D70" s="1">
        <f>IFERROR(__xludf.DUMMYFUNCTION("""COMPUTED_VALUE"""),169.0)</f>
        <v>169</v>
      </c>
      <c r="E70" s="1" t="str">
        <f>IFERROR(__xludf.DUMMYFUNCTION("""COMPUTED_VALUE"""),"Темы «Медный всадник»")</f>
        <v>Темы «Медный всадник»</v>
      </c>
      <c r="F70" s="1">
        <f>IFERROR(__xludf.DUMMYFUNCTION("""COMPUTED_VALUE"""),269.0)</f>
        <v>269</v>
      </c>
      <c r="G70" s="1" t="str">
        <f>IFERROR(__xludf.DUMMYFUNCTION("""COMPUTED_VALUE"""),"Идея «Ревизор»")</f>
        <v>Идея «Ревизор»</v>
      </c>
      <c r="H70" s="1">
        <f>IFERROR(__xludf.DUMMYFUNCTION("""COMPUTED_VALUE"""),369.0)</f>
        <v>369</v>
      </c>
      <c r="I70" s="1" t="str">
        <f>IFERROR(__xludf.DUMMYFUNCTION("""COMPUTED_VALUE"""),"Темы/Идея/Кто показан? «Новь»")</f>
        <v>Темы/Идея/Кто показан? «Новь»</v>
      </c>
      <c r="J70" s="1">
        <f>IFERROR(__xludf.DUMMYFUNCTION("""COMPUTED_VALUE"""),469.0)</f>
        <v>469</v>
      </c>
      <c r="K70" s="1" t="str">
        <f>IFERROR(__xludf.DUMMYFUNCTION("""COMPUTED_VALUE"""),"М.Е. Салтыкова-Щедрин, ""Повесть о том, как один мужик двух генералов прокормил"": история создания")</f>
        <v>М.Е. Салтыкова-Щедрин, "Повесть о том, как один мужик двух генералов прокормил": история создания</v>
      </c>
      <c r="L70" s="1">
        <f>IFERROR(__xludf.DUMMYFUNCTION("""COMPUTED_VALUE"""),569.0)</f>
        <v>569</v>
      </c>
      <c r="M70" s="1" t="str">
        <f>IFERROR(__xludf.DUMMYFUNCTION("""COMPUTED_VALUE""")," ""Рассказы Чехова""")</f>
        <v> "Рассказы Чехова"</v>
      </c>
      <c r="N70" s="1">
        <f>IFERROR(__xludf.DUMMYFUNCTION("""COMPUTED_VALUE"""),669.0)</f>
        <v>669</v>
      </c>
      <c r="O70" s="1"/>
      <c r="P70" s="1"/>
      <c r="Q70" s="1" t="str">
        <f>IFERROR(__xludf.DUMMYFUNCTION("""COMPUTED_VALUE"""),"Ахматова А.А. ""Реквием"": особенности произведения")</f>
        <v>Ахматова А.А. "Реквием": особенности произведения</v>
      </c>
      <c r="R70" s="1">
        <f>IFERROR(__xludf.DUMMYFUNCTION("""COMPUTED_VALUE"""),869.0)</f>
        <v>869</v>
      </c>
      <c r="S70" s="1"/>
      <c r="T70" s="1"/>
      <c r="U70" s="1" t="str">
        <f>IFERROR(__xludf.DUMMYFUNCTION("""COMPUTED_VALUE"""),"Сюжет “Тихий Дон”")</f>
        <v>Сюжет “Тихий Дон”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 t="str">
        <f>IFERROR(__xludf.DUMMYFUNCTION("""COMPUTED_VALUE"""),"Звукопись")</f>
        <v>Звукопись</v>
      </c>
      <c r="B71" s="1">
        <f>IFERROR(__xludf.DUMMYFUNCTION("""COMPUTED_VALUE"""),70.0)</f>
        <v>70</v>
      </c>
      <c r="C71" s="1" t="str">
        <f>IFERROR(__xludf.DUMMYFUNCTION("""COMPUTED_VALUE"""),"Темы в элегии – «Море»")</f>
        <v>Темы в элегии – «Море»</v>
      </c>
      <c r="D71" s="1">
        <f>IFERROR(__xludf.DUMMYFUNCTION("""COMPUTED_VALUE"""),170.0)</f>
        <v>170</v>
      </c>
      <c r="E71" s="1" t="str">
        <f>IFERROR(__xludf.DUMMYFUNCTION("""COMPUTED_VALUE"""),"Идея «Медный всадник»")</f>
        <v>Идея «Медный всадник»</v>
      </c>
      <c r="F71" s="1">
        <f>IFERROR(__xludf.DUMMYFUNCTION("""COMPUTED_VALUE"""),270.0)</f>
        <v>270</v>
      </c>
      <c r="G71" s="1" t="str">
        <f>IFERROR(__xludf.DUMMYFUNCTION("""COMPUTED_VALUE"""),"Особенности композиции «Ревизор»")</f>
        <v>Особенности композиции «Ревизор»</v>
      </c>
      <c r="H71" s="1">
        <f>IFERROR(__xludf.DUMMYFUNCTION("""COMPUTED_VALUE"""),370.0)</f>
        <v>370</v>
      </c>
      <c r="I71" s="1" t="str">
        <f>IFERROR(__xludf.DUMMYFUNCTION("""COMPUTED_VALUE"""),"Тургенев И.С. — «Отцы и дети»")</f>
        <v>Тургенев И.С. — «Отцы и дети»</v>
      </c>
      <c r="J71" s="1">
        <f>IFERROR(__xludf.DUMMYFUNCTION("""COMPUTED_VALUE"""),470.0)</f>
        <v>470</v>
      </c>
      <c r="K71" s="1" t="str">
        <f>IFERROR(__xludf.DUMMYFUNCTION("""COMPUTED_VALUE"""),"Тема ""Повесть о том, как один мужик двух генералов прокормил""")</f>
        <v>Тема "Повесть о том, как один мужик двух генералов прокормил"</v>
      </c>
      <c r="L71" s="1">
        <f>IFERROR(__xludf.DUMMYFUNCTION("""COMPUTED_VALUE"""),570.0)</f>
        <v>570</v>
      </c>
      <c r="M71" s="1" t="str">
        <f>IFERROR(__xludf.DUMMYFUNCTION("""COMPUTED_VALUE"""),"О Чехове А.П. ")</f>
        <v>О Чехове А.П. </v>
      </c>
      <c r="N71" s="1">
        <f>IFERROR(__xludf.DUMMYFUNCTION("""COMPUTED_VALUE"""),670.0)</f>
        <v>670</v>
      </c>
      <c r="O71" s="1"/>
      <c r="P71" s="1"/>
      <c r="Q71" s="1" t="str">
        <f>IFERROR(__xludf.DUMMYFUNCTION("""COMPUTED_VALUE"""),"Реквием: темы, идеи")</f>
        <v>Реквием: темы, идеи</v>
      </c>
      <c r="R71" s="1">
        <f>IFERROR(__xludf.DUMMYFUNCTION("""COMPUTED_VALUE"""),870.0)</f>
        <v>870</v>
      </c>
      <c r="S71" s="1"/>
      <c r="T71" s="1"/>
      <c r="U71" s="1" t="str">
        <f>IFERROR(__xludf.DUMMYFUNCTION("""COMPUTED_VALUE"""),"Мысль семейная в “Тихом Доне”")</f>
        <v>Мысль семейная в “Тихом Доне”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 t="str">
        <f>IFERROR(__xludf.DUMMYFUNCTION("""COMPUTED_VALUE"""),"Анафора")</f>
        <v>Анафора</v>
      </c>
      <c r="B72" s="1">
        <f>IFERROR(__xludf.DUMMYFUNCTION("""COMPUTED_VALUE"""),71.0)</f>
        <v>71</v>
      </c>
      <c r="C72" s="1" t="str">
        <f>IFERROR(__xludf.DUMMYFUNCTION("""COMPUTED_VALUE"""),"Жуковский В.А. – «Невыразимое»")</f>
        <v>Жуковский В.А. – «Невыразимое»</v>
      </c>
      <c r="D72" s="1">
        <f>IFERROR(__xludf.DUMMYFUNCTION("""COMPUTED_VALUE"""),171.0)</f>
        <v>171</v>
      </c>
      <c r="E72" s="1" t="str">
        <f>IFERROR(__xludf.DUMMYFUNCTION("""COMPUTED_VALUE"""),"Композиция «Медный всадник»")</f>
        <v>Композиция «Медный всадник»</v>
      </c>
      <c r="F72" s="1">
        <f>IFERROR(__xludf.DUMMYFUNCTION("""COMPUTED_VALUE"""),271.0)</f>
        <v>271</v>
      </c>
      <c r="G72" s="1" t="str">
        <f>IFERROR(__xludf.DUMMYFUNCTION("""COMPUTED_VALUE"""),"Сюжет «Ревизор»")</f>
        <v>Сюжет «Ревизор»</v>
      </c>
      <c r="H72" s="1">
        <f>IFERROR(__xludf.DUMMYFUNCTION("""COMPUTED_VALUE"""),371.0)</f>
        <v>371</v>
      </c>
      <c r="I72" s="1" t="str">
        <f>IFERROR(__xludf.DUMMYFUNCTION("""COMPUTED_VALUE"""),"Николай Петрович Кирсанов")</f>
        <v>Николай Петрович Кирсанов</v>
      </c>
      <c r="J72" s="1">
        <f>IFERROR(__xludf.DUMMYFUNCTION("""COMPUTED_VALUE"""),471.0)</f>
        <v>471</v>
      </c>
      <c r="K72" s="1" t="str">
        <f>IFERROR(__xludf.DUMMYFUNCTION("""COMPUTED_VALUE"""),"Идея ""Повесть о том, как один мужик двух генералов прокормил""")</f>
        <v>Идея "Повесть о том, как один мужик двух генералов прокормил"</v>
      </c>
      <c r="L72" s="1">
        <f>IFERROR(__xludf.DUMMYFUNCTION("""COMPUTED_VALUE"""),571.0)</f>
        <v>571</v>
      </c>
      <c r="M72" s="1" t="str">
        <f>IFERROR(__xludf.DUMMYFUNCTION("""COMPUTED_VALUE"""),"Особенности рассказов Чехова А.П.")</f>
        <v>Особенности рассказов Чехова А.П.</v>
      </c>
      <c r="N72" s="1">
        <f>IFERROR(__xludf.DUMMYFUNCTION("""COMPUTED_VALUE"""),671.0)</f>
        <v>671</v>
      </c>
      <c r="O72" s="1"/>
      <c r="P72" s="1"/>
      <c r="Q72" s="1" t="str">
        <f>IFERROR(__xludf.DUMMYFUNCTION("""COMPUTED_VALUE"""),"Реквием: история создания")</f>
        <v>Реквием: история создания</v>
      </c>
      <c r="R72" s="1">
        <f>IFERROR(__xludf.DUMMYFUNCTION("""COMPUTED_VALUE"""),871.0)</f>
        <v>871</v>
      </c>
      <c r="S72" s="1"/>
      <c r="T72" s="1"/>
      <c r="U72" s="1" t="str">
        <f>IFERROR(__xludf.DUMMYFUNCTION("""COMPUTED_VALUE"""),"Художественные приемы в “Тихом Доне”")</f>
        <v>Художественные приемы в “Тихом Доне”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 t="str">
        <f>IFERROR(__xludf.DUMMYFUNCTION("""COMPUTED_VALUE"""),"Эпифора")</f>
        <v>Эпифора</v>
      </c>
      <c r="B73" s="1">
        <f>IFERROR(__xludf.DUMMYFUNCTION("""COMPUTED_VALUE"""),72.0)</f>
        <v>72</v>
      </c>
      <c r="C73" s="1" t="str">
        <f>IFERROR(__xludf.DUMMYFUNCTION("""COMPUTED_VALUE"""),"Особенности стихотворения – «Невыразимое»")</f>
        <v>Особенности стихотворения – «Невыразимое»</v>
      </c>
      <c r="D73" s="1">
        <f>IFERROR(__xludf.DUMMYFUNCTION("""COMPUTED_VALUE"""),172.0)</f>
        <v>172</v>
      </c>
      <c r="E73" s="1" t="str">
        <f>IFERROR(__xludf.DUMMYFUNCTION("""COMPUTED_VALUE"""),"Конфликт «Медный всадник»")</f>
        <v>Конфликт «Медный всадник»</v>
      </c>
      <c r="F73" s="1">
        <f>IFERROR(__xludf.DUMMYFUNCTION("""COMPUTED_VALUE"""),272.0)</f>
        <v>272</v>
      </c>
      <c r="G73" s="1" t="str">
        <f>IFERROR(__xludf.DUMMYFUNCTION("""COMPUTED_VALUE"""),"Немая сцена «Ревизор»")</f>
        <v>Немая сцена «Ревизор»</v>
      </c>
      <c r="H73" s="1">
        <f>IFERROR(__xludf.DUMMYFUNCTION("""COMPUTED_VALUE"""),372.0)</f>
        <v>372</v>
      </c>
      <c r="I73" s="1" t="str">
        <f>IFERROR(__xludf.DUMMYFUNCTION("""COMPUTED_VALUE"""),"Павел Петрович Кирсанов")</f>
        <v>Павел Петрович Кирсанов</v>
      </c>
      <c r="J73" s="1">
        <f>IFERROR(__xludf.DUMMYFUNCTION("""COMPUTED_VALUE"""),472.0)</f>
        <v>472</v>
      </c>
      <c r="K73" s="1" t="str">
        <f>IFERROR(__xludf.DUMMYFUNCTION("""COMPUTED_VALUE"""),"Проблематика ""Повесть о том, как один мужик двух генералов прокормил""")</f>
        <v>Проблематика "Повесть о том, как один мужик двух генералов прокормил"</v>
      </c>
      <c r="L73" s="1">
        <f>IFERROR(__xludf.DUMMYFUNCTION("""COMPUTED_VALUE"""),572.0)</f>
        <v>572</v>
      </c>
      <c r="M73" s="1" t="str">
        <f>IFERROR(__xludf.DUMMYFUNCTION("""COMPUTED_VALUE"""),"«Смерть чиновника» — особенности, история создания, сюжет, образы героев")</f>
        <v>«Смерть чиновника» — особенности, история создания, сюжет, образы героев</v>
      </c>
      <c r="N73" s="1">
        <f>IFERROR(__xludf.DUMMYFUNCTION("""COMPUTED_VALUE"""),672.0)</f>
        <v>672</v>
      </c>
      <c r="O73" s="1"/>
      <c r="P73" s="1"/>
      <c r="Q73" s="1" t="str">
        <f>IFERROR(__xludf.DUMMYFUNCTION("""COMPUTED_VALUE"""),"Реквием: композиция и сюжет")</f>
        <v>Реквием: композиция и сюжет</v>
      </c>
      <c r="R73" s="1">
        <f>IFERROR(__xludf.DUMMYFUNCTION("""COMPUTED_VALUE"""),872.0)</f>
        <v>872</v>
      </c>
      <c r="S73" s="1"/>
      <c r="T73" s="1"/>
      <c r="U73" s="1" t="str">
        <f>IFERROR(__xludf.DUMMYFUNCTION("""COMPUTED_VALUE"""),"Система образов “Тихий Дон”")</f>
        <v>Система образов “Тихий Дон”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 t="str">
        <f>IFERROR(__xludf.DUMMYFUNCTION("""COMPUTED_VALUE"""),"Градация")</f>
        <v>Градация</v>
      </c>
      <c r="B74" s="1">
        <f>IFERROR(__xludf.DUMMYFUNCTION("""COMPUTED_VALUE"""),73.0)</f>
        <v>73</v>
      </c>
      <c r="C74" s="1" t="str">
        <f>IFERROR(__xludf.DUMMYFUNCTION("""COMPUTED_VALUE"""),"Темы стихотворения – «Невыразимое»")</f>
        <v>Темы стихотворения – «Невыразимое»</v>
      </c>
      <c r="D74" s="1">
        <f>IFERROR(__xludf.DUMMYFUNCTION("""COMPUTED_VALUE"""),173.0)</f>
        <v>173</v>
      </c>
      <c r="E74" s="1" t="str">
        <f>IFERROR(__xludf.DUMMYFUNCTION("""COMPUTED_VALUE"""),"Петр I")</f>
        <v>Петр I</v>
      </c>
      <c r="F74" s="1">
        <f>IFERROR(__xludf.DUMMYFUNCTION("""COMPUTED_VALUE"""),273.0)</f>
        <v>273</v>
      </c>
      <c r="G74" s="1" t="str">
        <f>IFERROR(__xludf.DUMMYFUNCTION("""COMPUTED_VALUE"""),"Эпиграф «Ревизор»")</f>
        <v>Эпиграф «Ревизор»</v>
      </c>
      <c r="H74" s="1">
        <f>IFERROR(__xludf.DUMMYFUNCTION("""COMPUTED_VALUE"""),373.0)</f>
        <v>373</v>
      </c>
      <c r="I74" s="1" t="str">
        <f>IFERROR(__xludf.DUMMYFUNCTION("""COMPUTED_VALUE"""),"Сравнение братьев «Отцы и дети»")</f>
        <v>Сравнение братьев «Отцы и дети»</v>
      </c>
      <c r="J74" s="1">
        <f>IFERROR(__xludf.DUMMYFUNCTION("""COMPUTED_VALUE"""),473.0)</f>
        <v>473</v>
      </c>
      <c r="K74" s="1" t="str">
        <f>IFERROR(__xludf.DUMMYFUNCTION("""COMPUTED_VALUE"""),"Сюжет и композиция ""Повесть о том, как один мужик двух генералов прокормил""")</f>
        <v>Сюжет и композиция "Повесть о том, как один мужик двух генералов прокормил"</v>
      </c>
      <c r="L74" s="1">
        <f>IFERROR(__xludf.DUMMYFUNCTION("""COMPUTED_VALUE"""),573.0)</f>
        <v>573</v>
      </c>
      <c r="M74" s="1" t="str">
        <f>IFERROR(__xludf.DUMMYFUNCTION("""COMPUTED_VALUE"""),"«Хамелеон» — особенности, сюжет, герои рассказа, сатирическая направленность")</f>
        <v>«Хамелеон» — особенности, сюжет, герои рассказа, сатирическая направленность</v>
      </c>
      <c r="N74" s="1">
        <f>IFERROR(__xludf.DUMMYFUNCTION("""COMPUTED_VALUE"""),673.0)</f>
        <v>673</v>
      </c>
      <c r="O74" s="1"/>
      <c r="P74" s="1"/>
      <c r="Q74" s="1" t="str">
        <f>IFERROR(__xludf.DUMMYFUNCTION("""COMPUTED_VALUE"""),"Реквием: образ лирической героини")</f>
        <v>Реквием: образ лирической героини</v>
      </c>
      <c r="R74" s="1">
        <f>IFERROR(__xludf.DUMMYFUNCTION("""COMPUTED_VALUE"""),873.0)</f>
        <v>873</v>
      </c>
      <c r="S74" s="1"/>
      <c r="T74" s="1"/>
      <c r="U74" s="1" t="str">
        <f>IFERROR(__xludf.DUMMYFUNCTION("""COMPUTED_VALUE"""),"Григорий Мелехов")</f>
        <v>Григорий Мелехов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 t="str">
        <f>IFERROR(__xludf.DUMMYFUNCTION("""COMPUTED_VALUE"""),"Параллелизм")</f>
        <v>Параллелизм</v>
      </c>
      <c r="B75" s="1">
        <f>IFERROR(__xludf.DUMMYFUNCTION("""COMPUTED_VALUE"""),74.0)</f>
        <v>74</v>
      </c>
      <c r="C75" s="1" t="str">
        <f>IFERROR(__xludf.DUMMYFUNCTION("""COMPUTED_VALUE"""),"Жуковский В.А. – «Лесной царь»")</f>
        <v>Жуковский В.А. – «Лесной царь»</v>
      </c>
      <c r="D75" s="1">
        <f>IFERROR(__xludf.DUMMYFUNCTION("""COMPUTED_VALUE"""),174.0)</f>
        <v>174</v>
      </c>
      <c r="E75" s="1" t="str">
        <f>IFERROR(__xludf.DUMMYFUNCTION("""COMPUTED_VALUE"""),"«Маленький человек»")</f>
        <v>«Маленький человек»</v>
      </c>
      <c r="F75" s="1">
        <f>IFERROR(__xludf.DUMMYFUNCTION("""COMPUTED_VALUE"""),274.0)</f>
        <v>274</v>
      </c>
      <c r="G75" s="1" t="str">
        <f>IFERROR(__xludf.DUMMYFUNCTION("""COMPUTED_VALUE"""),"Значение комедии «Ревизор»")</f>
        <v>Значение комедии «Ревизор»</v>
      </c>
      <c r="H75" s="1">
        <f>IFERROR(__xludf.DUMMYFUNCTION("""COMPUTED_VALUE"""),374.0)</f>
        <v>374</v>
      </c>
      <c r="I75" s="1" t="str">
        <f>IFERROR(__xludf.DUMMYFUNCTION("""COMPUTED_VALUE"""),"Аркадий Николаевич Кирсанов")</f>
        <v>Аркадий Николаевич Кирсанов</v>
      </c>
      <c r="J75" s="1">
        <f>IFERROR(__xludf.DUMMYFUNCTION("""COMPUTED_VALUE"""),474.0)</f>
        <v>474</v>
      </c>
      <c r="K75" s="1" t="str">
        <f>IFERROR(__xludf.DUMMYFUNCTION("""COMPUTED_VALUE"""),"Образ генералов ""Повесть о том, как один мужик двух генералов прокормил""")</f>
        <v>Образ генералов "Повесть о том, как один мужик двух генералов прокормил"</v>
      </c>
      <c r="L75" s="1">
        <f>IFERROR(__xludf.DUMMYFUNCTION("""COMPUTED_VALUE"""),574.0)</f>
        <v>574</v>
      </c>
      <c r="M75" s="1" t="str">
        <f>IFERROR(__xludf.DUMMYFUNCTION("""COMPUTED_VALUE"""),"«Тоска» — особенности, сюжет, образ Иона")</f>
        <v>«Тоска» — особенности, сюжет, образ Иона</v>
      </c>
      <c r="N75" s="1">
        <f>IFERROR(__xludf.DUMMYFUNCTION("""COMPUTED_VALUE"""),674.0)</f>
        <v>674</v>
      </c>
      <c r="O75" s="1"/>
      <c r="P75" s="1"/>
      <c r="Q75" s="1" t="str">
        <f>IFERROR(__xludf.DUMMYFUNCTION("""COMPUTED_VALUE"""),"Ахматова А.А. ""Песня последней встречи"": анализ произведения")</f>
        <v>Ахматова А.А. "Песня последней встречи": анализ произведения</v>
      </c>
      <c r="R75" s="1">
        <f>IFERROR(__xludf.DUMMYFUNCTION("""COMPUTED_VALUE"""),874.0)</f>
        <v>874</v>
      </c>
      <c r="S75" s="1"/>
      <c r="T75" s="1"/>
      <c r="U75" s="1" t="str">
        <f>IFERROR(__xludf.DUMMYFUNCTION("""COMPUTED_VALUE"""),"Аксинья Астахова")</f>
        <v>Аксинья Астахова</v>
      </c>
      <c r="V75" s="1">
        <f>IFERROR(__xludf.DUMMYFUNCTION("""COMPUTED_VALUE"""),1074.0)</f>
        <v>1074</v>
      </c>
      <c r="W75" s="1"/>
      <c r="X75" s="1"/>
      <c r="Y75" s="1"/>
      <c r="Z75" s="1"/>
    </row>
    <row r="76">
      <c r="A76" s="1" t="str">
        <f>IFERROR(__xludf.DUMMYFUNCTION("""COMPUTED_VALUE"""),"Метафора")</f>
        <v>Метафора</v>
      </c>
      <c r="B76" s="1">
        <f>IFERROR(__xludf.DUMMYFUNCTION("""COMPUTED_VALUE"""),75.0)</f>
        <v>75</v>
      </c>
      <c r="C76" s="1" t="str">
        <f>IFERROR(__xludf.DUMMYFUNCTION("""COMPUTED_VALUE"""),"""Творчество Грибоедова А.С. ""Горе от ума""")</f>
        <v>"Творчество Грибоедова А.С. "Горе от ума"</v>
      </c>
      <c r="D76" s="1">
        <f>IFERROR(__xludf.DUMMYFUNCTION("""COMPUTED_VALUE"""),175.0)</f>
        <v>175</v>
      </c>
      <c r="E76" s="1" t="str">
        <f>IFERROR(__xludf.DUMMYFUNCTION("""COMPUTED_VALUE"""),"Черты «маленького человека»")</f>
        <v>Черты «маленького человека»</v>
      </c>
      <c r="F76" s="1">
        <f>IFERROR(__xludf.DUMMYFUNCTION("""COMPUTED_VALUE"""),275.0)</f>
        <v>275</v>
      </c>
      <c r="G76" s="1" t="str">
        <f>IFERROR(__xludf.DUMMYFUNCTION("""COMPUTED_VALUE"""),"Смех в комедии «Ревизор»")</f>
        <v>Смех в комедии «Ревизор»</v>
      </c>
      <c r="H76" s="1">
        <f>IFERROR(__xludf.DUMMYFUNCTION("""COMPUTED_VALUE"""),375.0)</f>
        <v>375</v>
      </c>
      <c r="I76" s="1" t="str">
        <f>IFERROR(__xludf.DUMMYFUNCTION("""COMPUTED_VALUE"""),"Тургенев И.С. — «Ася»")</f>
        <v>Тургенев И.С. — «Ася»</v>
      </c>
      <c r="J76" s="1">
        <f>IFERROR(__xludf.DUMMYFUNCTION("""COMPUTED_VALUE"""),475.0)</f>
        <v>475</v>
      </c>
      <c r="K76" s="1" t="str">
        <f>IFERROR(__xludf.DUMMYFUNCTION("""COMPUTED_VALUE"""),"Образ мужика (народ) ""Повесть о том, как один мужик двух генералов прокормил""")</f>
        <v>Образ мужика (народ) "Повесть о том, как один мужик двух генералов прокормил"</v>
      </c>
      <c r="L76" s="1">
        <f>IFERROR(__xludf.DUMMYFUNCTION("""COMPUTED_VALUE"""),575.0)</f>
        <v>575</v>
      </c>
      <c r="M76" s="1" t="str">
        <f>IFERROR(__xludf.DUMMYFUNCTION("""COMPUTED_VALUE"""),"«Толстый и тонкий» — особенности, сюжет")</f>
        <v>«Толстый и тонкий» — особенности, сюжет</v>
      </c>
      <c r="N76" s="1">
        <f>IFERROR(__xludf.DUMMYFUNCTION("""COMPUTED_VALUE"""),675.0)</f>
        <v>675</v>
      </c>
      <c r="O76" s="1"/>
      <c r="P76" s="1"/>
      <c r="Q76" s="1" t="str">
        <f>IFERROR(__xludf.DUMMYFUNCTION("""COMPUTED_VALUE"""),"Ахматова А.А. ""Сжала руки под темной вуалью..."": анализ произведения")</f>
        <v>Ахматова А.А. "Сжала руки под темной вуалью...": анализ произведения</v>
      </c>
      <c r="R76" s="1">
        <f>IFERROR(__xludf.DUMMYFUNCTION("""COMPUTED_VALUE"""),875.0)</f>
        <v>875</v>
      </c>
      <c r="S76" s="1"/>
      <c r="T76" s="1"/>
      <c r="U76" s="1" t="str">
        <f>IFERROR(__xludf.DUMMYFUNCTION("""COMPUTED_VALUE"""),"Наталья Мелехова")</f>
        <v>Наталья Мелехова</v>
      </c>
      <c r="V76" s="1">
        <f>IFERROR(__xludf.DUMMYFUNCTION("""COMPUTED_VALUE"""),1075.0)</f>
        <v>1075</v>
      </c>
      <c r="W76" s="1"/>
      <c r="X76" s="1"/>
      <c r="Y76" s="1"/>
      <c r="Z76" s="1"/>
    </row>
    <row r="77">
      <c r="A77" s="1" t="str">
        <f>IFERROR(__xludf.DUMMYFUNCTION("""COMPUTED_VALUE"""),"Рифма/Строфа/Ритм")</f>
        <v>Рифма/Строфа/Ритм</v>
      </c>
      <c r="B77" s="1">
        <f>IFERROR(__xludf.DUMMYFUNCTION("""COMPUTED_VALUE"""),76.0)</f>
        <v>76</v>
      </c>
      <c r="C77" s="1" t="str">
        <f>IFERROR(__xludf.DUMMYFUNCTION("""COMPUTED_VALUE"""),"Сюжет – ""Горе от ума""")</f>
        <v>Сюжет – "Горе от ума"</v>
      </c>
      <c r="D77" s="1">
        <f>IFERROR(__xludf.DUMMYFUNCTION("""COMPUTED_VALUE"""),176.0)</f>
        <v>176</v>
      </c>
      <c r="E77" s="1" t="str">
        <f>IFERROR(__xludf.DUMMYFUNCTION("""COMPUTED_VALUE"""),"Образ Петербурга «Медный всадник»")</f>
        <v>Образ Петербурга «Медный всадник»</v>
      </c>
      <c r="F77" s="1">
        <f>IFERROR(__xludf.DUMMYFUNCTION("""COMPUTED_VALUE"""),276.0)</f>
        <v>276</v>
      </c>
      <c r="G77" s="1" t="str">
        <f>IFERROR(__xludf.DUMMYFUNCTION("""COMPUTED_VALUE"""),"Система образов «Ревизор»")</f>
        <v>Система образов «Ревизор»</v>
      </c>
      <c r="H77" s="1">
        <f>IFERROR(__xludf.DUMMYFUNCTION("""COMPUTED_VALUE"""),376.0)</f>
        <v>376</v>
      </c>
      <c r="I77" s="1" t="str">
        <f>IFERROR(__xludf.DUMMYFUNCTION("""COMPUTED_VALUE"""),"Тургенев И.С. — «Первая любовь»")</f>
        <v>Тургенев И.С. — «Первая любовь»</v>
      </c>
      <c r="J77" s="1">
        <f>IFERROR(__xludf.DUMMYFUNCTION("""COMPUTED_VALUE"""),476.0)</f>
        <v>476</v>
      </c>
      <c r="K77" s="1" t="str">
        <f>IFERROR(__xludf.DUMMYFUNCTION("""COMPUTED_VALUE"""),"М.Е. Салтыкова-Щедрин, ""Дикий помещик"": история создания")</f>
        <v>М.Е. Салтыкова-Щедрин, "Дикий помещик": история создания</v>
      </c>
      <c r="L77" s="1">
        <f>IFERROR(__xludf.DUMMYFUNCTION("""COMPUTED_VALUE"""),576.0)</f>
        <v>576</v>
      </c>
      <c r="M77" s="1" t="str">
        <f>IFERROR(__xludf.DUMMYFUNCTION("""COMPUTED_VALUE"""),"Чехов А.П. ""Человек в футляре"": особенности произведения")</f>
        <v>Чехов А.П. "Человек в футляре": особенности произведения</v>
      </c>
      <c r="N77" s="1">
        <f>IFERROR(__xludf.DUMMYFUNCTION("""COMPUTED_VALUE"""),676.0)</f>
        <v>676</v>
      </c>
      <c r="O77" s="1"/>
      <c r="P77" s="1"/>
      <c r="Q77" s="1" t="str">
        <f>IFERROR(__xludf.DUMMYFUNCTION("""COMPUTED_VALUE"""),"Ахматова А.А. ""Мне ни к чему одические рати..."": анализ произведения")</f>
        <v>Ахматова А.А. "Мне ни к чему одические рати...": анализ произведения</v>
      </c>
      <c r="R77" s="1">
        <f>IFERROR(__xludf.DUMMYFUNCTION("""COMPUTED_VALUE"""),876.0)</f>
        <v>876</v>
      </c>
      <c r="S77" s="1"/>
      <c r="T77" s="1"/>
      <c r="U77" s="1" t="str">
        <f>IFERROR(__xludf.DUMMYFUNCTION("""COMPUTED_VALUE"""),"Степан Астахов")</f>
        <v>Степан Астахов</v>
      </c>
      <c r="V77" s="1">
        <f>IFERROR(__xludf.DUMMYFUNCTION("""COMPUTED_VALUE"""),1076.0)</f>
        <v>1076</v>
      </c>
      <c r="W77" s="1"/>
      <c r="X77" s="1"/>
      <c r="Y77" s="1"/>
      <c r="Z77" s="1"/>
    </row>
    <row r="78">
      <c r="A78" s="1" t="str">
        <f>IFERROR(__xludf.DUMMYFUNCTION("""COMPUTED_VALUE"""),"Типы рифмовки")</f>
        <v>Типы рифмовки</v>
      </c>
      <c r="B78" s="1">
        <f>IFERROR(__xludf.DUMMYFUNCTION("""COMPUTED_VALUE"""),77.0)</f>
        <v>77</v>
      </c>
      <c r="C78" s="1" t="str">
        <f>IFERROR(__xludf.DUMMYFUNCTION("""COMPUTED_VALUE"""),"Идеи – ""Горе от ума""")</f>
        <v>Идеи – "Горе от ума"</v>
      </c>
      <c r="D78" s="1">
        <f>IFERROR(__xludf.DUMMYFUNCTION("""COMPUTED_VALUE"""),177.0)</f>
        <v>177</v>
      </c>
      <c r="E78" s="1" t="str">
        <f>IFERROR(__xludf.DUMMYFUNCTION("""COMPUTED_VALUE"""),"Образ Невы «Медный всадник»")</f>
        <v>Образ Невы «Медный всадник»</v>
      </c>
      <c r="F78" s="1">
        <f>IFERROR(__xludf.DUMMYFUNCTION("""COMPUTED_VALUE"""),277.0)</f>
        <v>277</v>
      </c>
      <c r="G78" s="1" t="str">
        <f>IFERROR(__xludf.DUMMYFUNCTION("""COMPUTED_VALUE"""),"Иван Александрович Хлестаков")</f>
        <v>Иван Александрович Хлестаков</v>
      </c>
      <c r="H78" s="1">
        <f>IFERROR(__xludf.DUMMYFUNCTION("""COMPUTED_VALUE"""),377.0)</f>
        <v>377</v>
      </c>
      <c r="I78" s="1" t="str">
        <f>IFERROR(__xludf.DUMMYFUNCTION("""COMPUTED_VALUE"""),"Творчество И.С. Тургенева")</f>
        <v>Творчество И.С. Тургенева</v>
      </c>
      <c r="J78" s="1">
        <f>IFERROR(__xludf.DUMMYFUNCTION("""COMPUTED_VALUE"""),477.0)</f>
        <v>477</v>
      </c>
      <c r="K78" s="1" t="str">
        <f>IFERROR(__xludf.DUMMYFUNCTION("""COMPUTED_VALUE"""),"Тема ""Дикий помещик""")</f>
        <v>Тема "Дикий помещик"</v>
      </c>
      <c r="L78" s="1">
        <f>IFERROR(__xludf.DUMMYFUNCTION("""COMPUTED_VALUE"""),577.0)</f>
        <v>577</v>
      </c>
      <c r="M78" s="1" t="str">
        <f>IFERROR(__xludf.DUMMYFUNCTION("""COMPUTED_VALUE"""),"Человек в футляре: тема, идеи")</f>
        <v>Человек в футляре: тема, идеи</v>
      </c>
      <c r="N78" s="1">
        <f>IFERROR(__xludf.DUMMYFUNCTION("""COMPUTED_VALUE"""),677.0)</f>
        <v>677</v>
      </c>
      <c r="O78" s="1"/>
      <c r="P78" s="1"/>
      <c r="Q78" s="1" t="str">
        <f>IFERROR(__xludf.DUMMYFUNCTION("""COMPUTED_VALUE"""),"Ахматова А.А. ""Мне голос был. Он звал утешно..."": анализ произведения")</f>
        <v>Ахматова А.А. "Мне голос был. Он звал утешно...": анализ произведения</v>
      </c>
      <c r="R78" s="1">
        <f>IFERROR(__xludf.DUMMYFUNCTION("""COMPUTED_VALUE"""),877.0)</f>
        <v>877</v>
      </c>
      <c r="S78" s="1"/>
      <c r="T78" s="1"/>
      <c r="U78" s="1" t="str">
        <f>IFERROR(__xludf.DUMMYFUNCTION("""COMPUTED_VALUE"""),"Пантелей Мелехов")</f>
        <v>Пантелей Мелехов</v>
      </c>
      <c r="V78" s="1">
        <f>IFERROR(__xludf.DUMMYFUNCTION("""COMPUTED_VALUE"""),1077.0)</f>
        <v>1077</v>
      </c>
      <c r="W78" s="1"/>
      <c r="X78" s="1"/>
      <c r="Y78" s="1"/>
      <c r="Z78" s="1"/>
    </row>
    <row r="79">
      <c r="A79" s="1" t="str">
        <f>IFERROR(__xludf.DUMMYFUNCTION("""COMPUTED_VALUE"""),"Способы рифмовки")</f>
        <v>Способы рифмовки</v>
      </c>
      <c r="B79" s="1">
        <f>IFERROR(__xludf.DUMMYFUNCTION("""COMPUTED_VALUE"""),78.0)</f>
        <v>78</v>
      </c>
      <c r="C79" s="1" t="str">
        <f>IFERROR(__xludf.DUMMYFUNCTION("""COMPUTED_VALUE"""),"Проблемы – ""Горе от ума""")</f>
        <v>Проблемы – "Горе от ума"</v>
      </c>
      <c r="D79" s="1">
        <f>IFERROR(__xludf.DUMMYFUNCTION("""COMPUTED_VALUE"""),178.0)</f>
        <v>178</v>
      </c>
      <c r="E79" s="1" t="str">
        <f>IFERROR(__xludf.DUMMYFUNCTION("""COMPUTED_VALUE"""),"Пушкин А.С. — «Евгений Онегин» ")</f>
        <v>Пушкин А.С. — «Евгений Онегин» </v>
      </c>
      <c r="F79" s="1">
        <f>IFERROR(__xludf.DUMMYFUNCTION("""COMPUTED_VALUE"""),278.0)</f>
        <v>278</v>
      </c>
      <c r="G79" s="1" t="str">
        <f>IFERROR(__xludf.DUMMYFUNCTION("""COMPUTED_VALUE"""),"Антон Антонович Сквозник-Дмухановский")</f>
        <v>Антон Антонович Сквозник-Дмухановский</v>
      </c>
      <c r="H79" s="1">
        <f>IFERROR(__xludf.DUMMYFUNCTION("""COMPUTED_VALUE"""),378.0)</f>
        <v>378</v>
      </c>
      <c r="I79" s="1" t="str">
        <f>IFERROR(__xludf.DUMMYFUNCTION("""COMPUTED_VALUE"""),"И.С. Тургенев — «Записки охотника»")</f>
        <v>И.С. Тургенев — «Записки охотника»</v>
      </c>
      <c r="J79" s="1">
        <f>IFERROR(__xludf.DUMMYFUNCTION("""COMPUTED_VALUE"""),478.0)</f>
        <v>478</v>
      </c>
      <c r="K79" s="1" t="str">
        <f>IFERROR(__xludf.DUMMYFUNCTION("""COMPUTED_VALUE"""),"Идея ""Дикий помещик""")</f>
        <v>Идея "Дикий помещик"</v>
      </c>
      <c r="L79" s="1">
        <f>IFERROR(__xludf.DUMMYFUNCTION("""COMPUTED_VALUE"""),578.0)</f>
        <v>578</v>
      </c>
      <c r="M79" s="1" t="str">
        <f>IFERROR(__xludf.DUMMYFUNCTION("""COMPUTED_VALUE"""),"Человек в футляре: особенности композиции")</f>
        <v>Человек в футляре: особенности композиции</v>
      </c>
      <c r="N79" s="1">
        <f>IFERROR(__xludf.DUMMYFUNCTION("""COMPUTED_VALUE"""),678.0)</f>
        <v>678</v>
      </c>
      <c r="O79" s="1"/>
      <c r="P79" s="1"/>
      <c r="Q79" s="1" t="str">
        <f>IFERROR(__xludf.DUMMYFUNCTION("""COMPUTED_VALUE"""),"Ахматова А.А. ""Родная земля"": анализ произведения")</f>
        <v>Ахматова А.А. "Родная земля": анализ произведения</v>
      </c>
      <c r="R79" s="1">
        <f>IFERROR(__xludf.DUMMYFUNCTION("""COMPUTED_VALUE"""),878.0)</f>
        <v>878</v>
      </c>
      <c r="S79" s="1"/>
      <c r="T79" s="1"/>
      <c r="U79" s="1" t="str">
        <f>IFERROR(__xludf.DUMMYFUNCTION("""COMPUTED_VALUE"""),"Петро Мелехов")</f>
        <v>Петро Мелехов</v>
      </c>
      <c r="V79" s="1">
        <f>IFERROR(__xludf.DUMMYFUNCTION("""COMPUTED_VALUE"""),1078.0)</f>
        <v>1078</v>
      </c>
      <c r="W79" s="1"/>
      <c r="X79" s="1"/>
      <c r="Y79" s="1"/>
      <c r="Z79" s="1"/>
    </row>
    <row r="80">
      <c r="A80" s="1" t="str">
        <f>IFERROR(__xludf.DUMMYFUNCTION("""COMPUTED_VALUE"""),"Системы стихосложения")</f>
        <v>Системы стихосложения</v>
      </c>
      <c r="B80" s="1">
        <f>IFERROR(__xludf.DUMMYFUNCTION("""COMPUTED_VALUE"""),79.0)</f>
        <v>79</v>
      </c>
      <c r="C80" s="1" t="str">
        <f>IFERROR(__xludf.DUMMYFUNCTION("""COMPUTED_VALUE"""),"Темы – ""Горе от ума""")</f>
        <v>Темы – "Горе от ума"</v>
      </c>
      <c r="D80" s="1">
        <f>IFERROR(__xludf.DUMMYFUNCTION("""COMPUTED_VALUE"""),179.0)</f>
        <v>179</v>
      </c>
      <c r="E80" s="1" t="str">
        <f>IFERROR(__xludf.DUMMYFUNCTION("""COMPUTED_VALUE"""),"Ахматова А.А. о «Евгении Онегине»")</f>
        <v>Ахматова А.А. о «Евгении Онегине»</v>
      </c>
      <c r="F80" s="1">
        <f>IFERROR(__xludf.DUMMYFUNCTION("""COMPUTED_VALUE"""),279.0)</f>
        <v>279</v>
      </c>
      <c r="G80" s="1" t="str">
        <f>IFERROR(__xludf.DUMMYFUNCTION("""COMPUTED_VALUE"""),"Лука Лукич Хлопов")</f>
        <v>Лука Лукич Хлопов</v>
      </c>
      <c r="H80" s="1">
        <f>IFERROR(__xludf.DUMMYFUNCTION("""COMPUTED_VALUE"""),379.0)</f>
        <v>379</v>
      </c>
      <c r="I80" s="1" t="str">
        <f>IFERROR(__xludf.DUMMYFUNCTION("""COMPUTED_VALUE"""),"И.С. Тургенев — «Дневник лишнего человека»")</f>
        <v>И.С. Тургенев — «Дневник лишнего человека»</v>
      </c>
      <c r="J80" s="1">
        <f>IFERROR(__xludf.DUMMYFUNCTION("""COMPUTED_VALUE"""),479.0)</f>
        <v>479</v>
      </c>
      <c r="K80" s="1" t="str">
        <f>IFERROR(__xludf.DUMMYFUNCTION("""COMPUTED_VALUE"""),"Проблематика ""Дикий помещик""")</f>
        <v>Проблематика "Дикий помещик"</v>
      </c>
      <c r="L80" s="1">
        <f>IFERROR(__xludf.DUMMYFUNCTION("""COMPUTED_VALUE"""),579.0)</f>
        <v>579</v>
      </c>
      <c r="M80" s="1" t="str">
        <f>IFERROR(__xludf.DUMMYFUNCTION("""COMPUTED_VALUE"""),"Человек в футляре: основные образы")</f>
        <v>Человек в футляре: основные образы</v>
      </c>
      <c r="N80" s="1">
        <f>IFERROR(__xludf.DUMMYFUNCTION("""COMPUTED_VALUE"""),679.0)</f>
        <v>679</v>
      </c>
      <c r="O80" s="1"/>
      <c r="P80" s="1"/>
      <c r="Q80" s="1" t="str">
        <f>IFERROR(__xludf.DUMMYFUNCTION("""COMPUTED_VALUE"""),"Ахматова А.А. ""Заплаканная осень, как вдова"": анализ произведения")</f>
        <v>Ахматова А.А. "Заплаканная осень, как вдова": анализ произведения</v>
      </c>
      <c r="R80" s="1">
        <f>IFERROR(__xludf.DUMMYFUNCTION("""COMPUTED_VALUE"""),879.0)</f>
        <v>879</v>
      </c>
      <c r="S80" s="1"/>
      <c r="T80" s="1"/>
      <c r="U80" s="1" t="str">
        <f>IFERROR(__xludf.DUMMYFUNCTION("""COMPUTED_VALUE"""),"Дарья Мелехова")</f>
        <v>Дарья Мелехова</v>
      </c>
      <c r="V80" s="1">
        <f>IFERROR(__xludf.DUMMYFUNCTION("""COMPUTED_VALUE"""),1079.0)</f>
        <v>1079</v>
      </c>
      <c r="W80" s="1"/>
      <c r="X80" s="1"/>
      <c r="Y80" s="1"/>
      <c r="Z80" s="1"/>
    </row>
    <row r="81">
      <c r="A81" s="1" t="str">
        <f>IFERROR(__xludf.DUMMYFUNCTION("""COMPUTED_VALUE"""),"Разновидности стихов")</f>
        <v>Разновидности стихов</v>
      </c>
      <c r="B81" s="1">
        <f>IFERROR(__xludf.DUMMYFUNCTION("""COMPUTED_VALUE"""),80.0)</f>
        <v>80</v>
      </c>
      <c r="C81" s="1" t="str">
        <f>IFERROR(__xludf.DUMMYFUNCTION("""COMPUTED_VALUE"""),"Значение произведения – ""Горе от ума""")</f>
        <v>Значение произведения – "Горе от ума"</v>
      </c>
      <c r="D81" s="1">
        <f>IFERROR(__xludf.DUMMYFUNCTION("""COMPUTED_VALUE"""),180.0)</f>
        <v>180</v>
      </c>
      <c r="E81" s="1" t="str">
        <f>IFERROR(__xludf.DUMMYFUNCTION("""COMPUTED_VALUE"""),"Образ романа")</f>
        <v>Образ романа</v>
      </c>
      <c r="F81" s="1">
        <f>IFERROR(__xludf.DUMMYFUNCTION("""COMPUTED_VALUE"""),280.0)</f>
        <v>280</v>
      </c>
      <c r="G81" s="1" t="str">
        <f>IFERROR(__xludf.DUMMYFUNCTION("""COMPUTED_VALUE"""),"Аммос Федорович Ляпкин-Тяпкин")</f>
        <v>Аммос Федорович Ляпкин-Тяпкин</v>
      </c>
      <c r="H81" s="1">
        <f>IFERROR(__xludf.DUMMYFUNCTION("""COMPUTED_VALUE"""),380.0)</f>
        <v>380</v>
      </c>
      <c r="I81" s="1" t="str">
        <f>IFERROR(__xludf.DUMMYFUNCTION("""COMPUTED_VALUE"""),"И.С. Тургенев “Отцы и дети”: особенности произведения")</f>
        <v>И.С. Тургенев “Отцы и дети”: особенности произведения</v>
      </c>
      <c r="J81" s="1">
        <f>IFERROR(__xludf.DUMMYFUNCTION("""COMPUTED_VALUE"""),480.0)</f>
        <v>480</v>
      </c>
      <c r="K81" s="1" t="str">
        <f>IFERROR(__xludf.DUMMYFUNCTION("""COMPUTED_VALUE"""),"Сюжет и композиция ""Дикий помещик""")</f>
        <v>Сюжет и композиция "Дикий помещик"</v>
      </c>
      <c r="L81" s="1">
        <f>IFERROR(__xludf.DUMMYFUNCTION("""COMPUTED_VALUE"""),580.0)</f>
        <v>580</v>
      </c>
      <c r="M81" s="1" t="str">
        <f>IFERROR(__xludf.DUMMYFUNCTION("""COMPUTED_VALUE"""),"Чехов А.П. ""Ионыч"": особенности произведения")</f>
        <v>Чехов А.П. "Ионыч": особенности произведения</v>
      </c>
      <c r="N81" s="1">
        <f>IFERROR(__xludf.DUMMYFUNCTION("""COMPUTED_VALUE"""),680.0)</f>
        <v>680</v>
      </c>
      <c r="O81" s="1"/>
      <c r="P81" s="1"/>
      <c r="Q81" s="1" t="str">
        <f>IFERROR(__xludf.DUMMYFUNCTION("""COMPUTED_VALUE"""),"Ахматова А.А. ""Приморский сонет"": анализ произведения")</f>
        <v>Ахматова А.А. "Приморский сонет": анализ произведения</v>
      </c>
      <c r="R81" s="1">
        <f>IFERROR(__xludf.DUMMYFUNCTION("""COMPUTED_VALUE"""),880.0)</f>
        <v>880</v>
      </c>
      <c r="S81" s="1"/>
      <c r="T81" s="1"/>
      <c r="U81" s="1" t="str">
        <f>IFERROR(__xludf.DUMMYFUNCTION("""COMPUTED_VALUE"""),"Дуняша Мелехова")</f>
        <v>Дуняша Мелехова</v>
      </c>
      <c r="V81" s="1">
        <f>IFERROR(__xludf.DUMMYFUNCTION("""COMPUTED_VALUE"""),1080.0)</f>
        <v>1080</v>
      </c>
      <c r="W81" s="1"/>
      <c r="X81" s="1"/>
      <c r="Y81" s="1"/>
      <c r="Z81" s="1"/>
    </row>
    <row r="82">
      <c r="A82" s="1" t="str">
        <f>IFERROR(__xludf.DUMMYFUNCTION("""COMPUTED_VALUE"""),"Размеры")</f>
        <v>Размеры</v>
      </c>
      <c r="B82" s="1">
        <f>IFERROR(__xludf.DUMMYFUNCTION("""COMPUTED_VALUE"""),81.0)</f>
        <v>81</v>
      </c>
      <c r="C82" s="1" t="str">
        <f>IFERROR(__xludf.DUMMYFUNCTION("""COMPUTED_VALUE"""),"Конфликт в пьесе – ""Горе от ума""")</f>
        <v>Конфликт в пьесе – "Горе от ума"</v>
      </c>
      <c r="D82" s="1">
        <f>IFERROR(__xludf.DUMMYFUNCTION("""COMPUTED_VALUE"""),181.0)</f>
        <v>181</v>
      </c>
      <c r="E82" s="1" t="str">
        <f>IFERROR(__xludf.DUMMYFUNCTION("""COMPUTED_VALUE"""),"Особенности произведения «Евгений Онегин» ")</f>
        <v>Особенности произведения «Евгений Онегин» </v>
      </c>
      <c r="F82" s="1">
        <f>IFERROR(__xludf.DUMMYFUNCTION("""COMPUTED_VALUE"""),281.0)</f>
        <v>281</v>
      </c>
      <c r="G82" s="1" t="str">
        <f>IFERROR(__xludf.DUMMYFUNCTION("""COMPUTED_VALUE"""),"Артемий Филиппович Земляника")</f>
        <v>Артемий Филиппович Земляника</v>
      </c>
      <c r="H82" s="1">
        <f>IFERROR(__xludf.DUMMYFUNCTION("""COMPUTED_VALUE"""),381.0)</f>
        <v>381</v>
      </c>
      <c r="I82" s="1" t="str">
        <f>IFERROR(__xludf.DUMMYFUNCTION("""COMPUTED_VALUE"""),"Темы, идеи “Отцы и дети”")</f>
        <v>Темы, идеи “Отцы и дети”</v>
      </c>
      <c r="J82" s="1">
        <f>IFERROR(__xludf.DUMMYFUNCTION("""COMPUTED_VALUE"""),481.0)</f>
        <v>481</v>
      </c>
      <c r="K82" s="1" t="str">
        <f>IFERROR(__xludf.DUMMYFUNCTION("""COMPUTED_VALUE"""),"Образ помещика ""Дикий помещик""")</f>
        <v>Образ помещика "Дикий помещик"</v>
      </c>
      <c r="L82" s="1">
        <f>IFERROR(__xludf.DUMMYFUNCTION("""COMPUTED_VALUE"""),581.0)</f>
        <v>581</v>
      </c>
      <c r="M82" s="1" t="str">
        <f>IFERROR(__xludf.DUMMYFUNCTION("""COMPUTED_VALUE"""),"Ионыч: тема, идеи")</f>
        <v>Ионыч: тема, идеи</v>
      </c>
      <c r="N82" s="1">
        <f>IFERROR(__xludf.DUMMYFUNCTION("""COMPUTED_VALUE"""),681.0)</f>
        <v>681</v>
      </c>
      <c r="O82" s="1"/>
      <c r="P82" s="1"/>
      <c r="Q82" s="1" t="str">
        <f>IFERROR(__xludf.DUMMYFUNCTION("""COMPUTED_VALUE"""),"Ахматова А.А. ""Перед весной бывают дни такие..."": анализ произведения")</f>
        <v>Ахматова А.А. "Перед весной бывают дни такие...": анализ произведения</v>
      </c>
      <c r="R82" s="1">
        <f>IFERROR(__xludf.DUMMYFUNCTION("""COMPUTED_VALUE"""),881.0)</f>
        <v>881</v>
      </c>
      <c r="S82" s="1"/>
      <c r="T82" s="1"/>
      <c r="U82" s="1" t="str">
        <f>IFERROR(__xludf.DUMMYFUNCTION("""COMPUTED_VALUE"""),"Василиса Ильинична Мелехова")</f>
        <v>Василиса Ильинична Мелехова</v>
      </c>
      <c r="V82" s="1">
        <f>IFERROR(__xludf.DUMMYFUNCTION("""COMPUTED_VALUE"""),1081.0)</f>
        <v>1081</v>
      </c>
      <c r="W82" s="1"/>
      <c r="X82" s="1"/>
      <c r="Y82" s="1"/>
      <c r="Z82" s="1"/>
    </row>
    <row r="83">
      <c r="A83" s="1" t="str">
        <f>IFERROR(__xludf.DUMMYFUNCTION("""COMPUTED_VALUE"""),"Ударения")</f>
        <v>Ударения</v>
      </c>
      <c r="B83" s="1">
        <f>IFERROR(__xludf.DUMMYFUNCTION("""COMPUTED_VALUE"""),82.0)</f>
        <v>82</v>
      </c>
      <c r="C83" s="1" t="str">
        <f>IFERROR(__xludf.DUMMYFUNCTION("""COMPUTED_VALUE"""),"Два лагеря в пьесе – ""Горе от ума""")</f>
        <v>Два лагеря в пьесе – "Горе от ума"</v>
      </c>
      <c r="D83" s="1">
        <f>IFERROR(__xludf.DUMMYFUNCTION("""COMPUTED_VALUE"""),182.0)</f>
        <v>182</v>
      </c>
      <c r="E83" s="1" t="str">
        <f>IFERROR(__xludf.DUMMYFUNCTION("""COMPUTED_VALUE"""),"Темы «Евгений Онегин» ")</f>
        <v>Темы «Евгений Онегин» </v>
      </c>
      <c r="F83" s="1">
        <f>IFERROR(__xludf.DUMMYFUNCTION("""COMPUTED_VALUE"""),282.0)</f>
        <v>282</v>
      </c>
      <c r="G83" s="1" t="str">
        <f>IFERROR(__xludf.DUMMYFUNCTION("""COMPUTED_VALUE"""),"Иван Кузьмич Шпекин")</f>
        <v>Иван Кузьмич Шпекин</v>
      </c>
      <c r="H83" s="1">
        <f>IFERROR(__xludf.DUMMYFUNCTION("""COMPUTED_VALUE"""),382.0)</f>
        <v>382</v>
      </c>
      <c r="I83" s="1" t="str">
        <f>IFERROR(__xludf.DUMMYFUNCTION("""COMPUTED_VALUE"""),"Сюжет и композиция «Отцы и дети»")</f>
        <v>Сюжет и композиция «Отцы и дети»</v>
      </c>
      <c r="J83" s="1">
        <f>IFERROR(__xludf.DUMMYFUNCTION("""COMPUTED_VALUE"""),482.0)</f>
        <v>482</v>
      </c>
      <c r="K83" s="1" t="str">
        <f>IFERROR(__xludf.DUMMYFUNCTION("""COMPUTED_VALUE"""),"М.Е. Салтыкова-Щедрин, ""Премудрый пискарь"": смысл названия")</f>
        <v>М.Е. Салтыкова-Щедрин, "Премудрый пискарь": смысл названия</v>
      </c>
      <c r="L83" s="1">
        <f>IFERROR(__xludf.DUMMYFUNCTION("""COMPUTED_VALUE"""),582.0)</f>
        <v>582</v>
      </c>
      <c r="M83" s="1" t="str">
        <f>IFERROR(__xludf.DUMMYFUNCTION("""COMPUTED_VALUE"""),"Ионыч: особенности композиции")</f>
        <v>Ионыч: особенности композиции</v>
      </c>
      <c r="N83" s="1">
        <f>IFERROR(__xludf.DUMMYFUNCTION("""COMPUTED_VALUE"""),682.0)</f>
        <v>682</v>
      </c>
      <c r="O83" s="1"/>
      <c r="P83" s="1"/>
      <c r="Q83" s="1" t="str">
        <f>IFERROR(__xludf.DUMMYFUNCTION("""COMPUTED_VALUE"""),"Ахматова А.А. ""Не с теми я, кто бросил землю..."": анализ произведения")</f>
        <v>Ахматова А.А. "Не с теми я, кто бросил землю...": анализ произведения</v>
      </c>
      <c r="R83" s="1">
        <f>IFERROR(__xludf.DUMMYFUNCTION("""COMPUTED_VALUE"""),882.0)</f>
        <v>882</v>
      </c>
      <c r="S83" s="1"/>
      <c r="T83" s="1"/>
      <c r="U83" s="1" t="str">
        <f>IFERROR(__xludf.DUMMYFUNCTION("""COMPUTED_VALUE"""),"Исторические личности “Тихий Дон”")</f>
        <v>Исторические личности “Тихий Дон”</v>
      </c>
      <c r="V83" s="1">
        <f>IFERROR(__xludf.DUMMYFUNCTION("""COMPUTED_VALUE"""),1082.0)</f>
        <v>1082</v>
      </c>
      <c r="W83" s="1"/>
      <c r="X83" s="1"/>
      <c r="Y83" s="1"/>
      <c r="Z83" s="1"/>
    </row>
    <row r="84">
      <c r="A84" s="1" t="str">
        <f>IFERROR(__xludf.DUMMYFUNCTION("""COMPUTED_VALUE"""),"Стихотворные размеры")</f>
        <v>Стихотворные размеры</v>
      </c>
      <c r="B84" s="1">
        <f>IFERROR(__xludf.DUMMYFUNCTION("""COMPUTED_VALUE"""),83.0)</f>
        <v>83</v>
      </c>
      <c r="C84" s="1" t="str">
        <f>IFERROR(__xludf.DUMMYFUNCTION("""COMPUTED_VALUE"""),"Александр Андреевич Чацкий")</f>
        <v>Александр Андреевич Чацкий</v>
      </c>
      <c r="D84" s="1">
        <f>IFERROR(__xludf.DUMMYFUNCTION("""COMPUTED_VALUE"""),183.0)</f>
        <v>183</v>
      </c>
      <c r="E84" s="1" t="str">
        <f>IFERROR(__xludf.DUMMYFUNCTION("""COMPUTED_VALUE"""),"Идеи «Евгений Онегин» ")</f>
        <v>Идеи «Евгений Онегин» </v>
      </c>
      <c r="F84" s="1">
        <f>IFERROR(__xludf.DUMMYFUNCTION("""COMPUTED_VALUE"""),283.0)</f>
        <v>283</v>
      </c>
      <c r="G84" s="1" t="str">
        <f>IFERROR(__xludf.DUMMYFUNCTION("""COMPUTED_VALUE"""),"Христиан Иванович Гибнер")</f>
        <v>Христиан Иванович Гибнер</v>
      </c>
      <c r="H84" s="1">
        <f>IFERROR(__xludf.DUMMYFUNCTION("""COMPUTED_VALUE"""),383.0)</f>
        <v>383</v>
      </c>
      <c r="I84" s="1" t="str">
        <f>IFERROR(__xludf.DUMMYFUNCTION("""COMPUTED_VALUE"""),"Конфликт «Отцы и дети»")</f>
        <v>Конфликт «Отцы и дети»</v>
      </c>
      <c r="J84" s="1">
        <f>IFERROR(__xludf.DUMMYFUNCTION("""COMPUTED_VALUE"""),483.0)</f>
        <v>483</v>
      </c>
      <c r="K84" s="1" t="str">
        <f>IFERROR(__xludf.DUMMYFUNCTION("""COMPUTED_VALUE"""),"Тема ""Премудрый пискарь""")</f>
        <v>Тема "Премудрый пискарь"</v>
      </c>
      <c r="L84" s="1">
        <f>IFERROR(__xludf.DUMMYFUNCTION("""COMPUTED_VALUE"""),583.0)</f>
        <v>583</v>
      </c>
      <c r="M84" s="1" t="str">
        <f>IFERROR(__xludf.DUMMYFUNCTION("""COMPUTED_VALUE"""),"Ионыч: основные образы")</f>
        <v>Ионыч: основные образы</v>
      </c>
      <c r="N84" s="1">
        <f>IFERROR(__xludf.DUMMYFUNCTION("""COMPUTED_VALUE"""),683.0)</f>
        <v>683</v>
      </c>
      <c r="O84" s="1"/>
      <c r="P84" s="1"/>
      <c r="Q84" s="1" t="str">
        <f>IFERROR(__xludf.DUMMYFUNCTION("""COMPUTED_VALUE"""),"Ахматова А.А. ""Стихи о Петербурге"": анализ произведения")</f>
        <v>Ахматова А.А. "Стихи о Петербурге": анализ произведения</v>
      </c>
      <c r="R84" s="1">
        <f>IFERROR(__xludf.DUMMYFUNCTION("""COMPUTED_VALUE"""),883.0)</f>
        <v>883</v>
      </c>
      <c r="S84" s="1"/>
      <c r="T84" s="1"/>
      <c r="U84" s="1" t="str">
        <f>IFERROR(__xludf.DUMMYFUNCTION("""COMPUTED_VALUE"""),"Война в “Тихом Доне”")</f>
        <v>Война в “Тихом Доне”</v>
      </c>
      <c r="V84" s="1">
        <f>IFERROR(__xludf.DUMMYFUNCTION("""COMPUTED_VALUE"""),1083.0)</f>
        <v>1083</v>
      </c>
      <c r="W84" s="1"/>
      <c r="X84" s="1"/>
      <c r="Y84" s="1"/>
      <c r="Z84" s="1"/>
    </row>
    <row r="85">
      <c r="A85" s="1" t="str">
        <f>IFERROR(__xludf.DUMMYFUNCTION("""COMPUTED_VALUE"""),"Анализ прозаического текста")</f>
        <v>Анализ прозаического текста</v>
      </c>
      <c r="B85" s="1">
        <f>IFERROR(__xludf.DUMMYFUNCTION("""COMPUTED_VALUE"""),84.0)</f>
        <v>84</v>
      </c>
      <c r="C85" s="1" t="str">
        <f>IFERROR(__xludf.DUMMYFUNCTION("""COMPUTED_VALUE"""),"Павел Афанасьевич Фамусов")</f>
        <v>Павел Афанасьевич Фамусов</v>
      </c>
      <c r="D85" s="1">
        <f>IFERROR(__xludf.DUMMYFUNCTION("""COMPUTED_VALUE"""),184.0)</f>
        <v>184</v>
      </c>
      <c r="E85" s="1" t="str">
        <f>IFERROR(__xludf.DUMMYFUNCTION("""COMPUTED_VALUE"""),"История создания «Евгений Онегин» ")</f>
        <v>История создания «Евгений Онегин» </v>
      </c>
      <c r="F85" s="1">
        <f>IFERROR(__xludf.DUMMYFUNCTION("""COMPUTED_VALUE"""),284.0)</f>
        <v>284</v>
      </c>
      <c r="G85" s="1" t="str">
        <f>IFERROR(__xludf.DUMMYFUNCTION("""COMPUTED_VALUE"""),"Добчинский и Бобчинский")</f>
        <v>Добчинский и Бобчинский</v>
      </c>
      <c r="H85" s="1">
        <f>IFERROR(__xludf.DUMMYFUNCTION("""COMPUTED_VALUE"""),384.0)</f>
        <v>384</v>
      </c>
      <c r="I85" s="1" t="str">
        <f>IFERROR(__xludf.DUMMYFUNCTION("""COMPUTED_VALUE"""),"Система образов “Отцы и дети”")</f>
        <v>Система образов “Отцы и дети”</v>
      </c>
      <c r="J85" s="1">
        <f>IFERROR(__xludf.DUMMYFUNCTION("""COMPUTED_VALUE"""),484.0)</f>
        <v>484</v>
      </c>
      <c r="K85" s="1" t="str">
        <f>IFERROR(__xludf.DUMMYFUNCTION("""COMPUTED_VALUE"""),"Идея ""Премудрый пискарь""")</f>
        <v>Идея "Премудрый пискарь"</v>
      </c>
      <c r="L85" s="1">
        <f>IFERROR(__xludf.DUMMYFUNCTION("""COMPUTED_VALUE"""),584.0)</f>
        <v>584</v>
      </c>
      <c r="M85" s="1" t="str">
        <f>IFERROR(__xludf.DUMMYFUNCTION("""COMPUTED_VALUE"""),"Чехов А.П. ""Дама с собачкой"": тема, идея")</f>
        <v>Чехов А.П. "Дама с собачкой": тема, идея</v>
      </c>
      <c r="N85" s="1">
        <f>IFERROR(__xludf.DUMMYFUNCTION("""COMPUTED_VALUE"""),684.0)</f>
        <v>684</v>
      </c>
      <c r="O85" s="1"/>
      <c r="P85" s="1"/>
      <c r="Q85" s="1" t="str">
        <f>IFERROR(__xludf.DUMMYFUNCTION("""COMPUTED_VALUE"""),"Ахматова А.А. ""Мужество"": анализ произведения")</f>
        <v>Ахматова А.А. "Мужество": анализ произведения</v>
      </c>
      <c r="R85" s="1">
        <f>IFERROR(__xludf.DUMMYFUNCTION("""COMPUTED_VALUE"""),884.0)</f>
        <v>884</v>
      </c>
      <c r="S85" s="1"/>
      <c r="T85" s="1"/>
      <c r="U85" s="1" t="str">
        <f>IFERROR(__xludf.DUMMYFUNCTION("""COMPUTED_VALUE"""),"Михаил Кошевой")</f>
        <v>Михаил Кошевой</v>
      </c>
      <c r="V85" s="1">
        <f>IFERROR(__xludf.DUMMYFUNCTION("""COMPUTED_VALUE"""),1084.0)</f>
        <v>1084</v>
      </c>
      <c r="W85" s="1"/>
      <c r="X85" s="1"/>
      <c r="Y85" s="1"/>
      <c r="Z85" s="1"/>
    </row>
    <row r="86">
      <c r="A86" s="1" t="str">
        <f>IFERROR(__xludf.DUMMYFUNCTION("""COMPUTED_VALUE"""),"Анализ лирического текста")</f>
        <v>Анализ лирического текста</v>
      </c>
      <c r="B86" s="1">
        <f>IFERROR(__xludf.DUMMYFUNCTION("""COMPUTED_VALUE"""),85.0)</f>
        <v>85</v>
      </c>
      <c r="C86" s="1" t="str">
        <f>IFERROR(__xludf.DUMMYFUNCTION("""COMPUTED_VALUE"""),"Алексей Степанович Молчалин")</f>
        <v>Алексей Степанович Молчалин</v>
      </c>
      <c r="D86" s="1">
        <f>IFERROR(__xludf.DUMMYFUNCTION("""COMPUTED_VALUE"""),185.0)</f>
        <v>185</v>
      </c>
      <c r="E86" s="1" t="str">
        <f>IFERROR(__xludf.DUMMYFUNCTION("""COMPUTED_VALUE"""),"Образ автора «Евгений Онегин» ")</f>
        <v>Образ автора «Евгений Онегин» </v>
      </c>
      <c r="F86" s="1">
        <f>IFERROR(__xludf.DUMMYFUNCTION("""COMPUTED_VALUE"""),285.0)</f>
        <v>285</v>
      </c>
      <c r="G86" s="1" t="str">
        <f>IFERROR(__xludf.DUMMYFUNCTION("""COMPUTED_VALUE"""),"Анна Андреевна и Марья Антоновна")</f>
        <v>Анна Андреевна и Марья Антоновна</v>
      </c>
      <c r="H86" s="1">
        <f>IFERROR(__xludf.DUMMYFUNCTION("""COMPUTED_VALUE"""),385.0)</f>
        <v>385</v>
      </c>
      <c r="I86" s="1" t="str">
        <f>IFERROR(__xludf.DUMMYFUNCTION("""COMPUTED_VALUE"""),"Евгений Базаров")</f>
        <v>Евгений Базаров</v>
      </c>
      <c r="J86" s="1">
        <f>IFERROR(__xludf.DUMMYFUNCTION("""COMPUTED_VALUE"""),485.0)</f>
        <v>485</v>
      </c>
      <c r="K86" s="1" t="str">
        <f>IFERROR(__xludf.DUMMYFUNCTION("""COMPUTED_VALUE"""),"Сюжет и композиция ""Премудрый пискарь""")</f>
        <v>Сюжет и композиция "Премудрый пискарь"</v>
      </c>
      <c r="L86" s="1">
        <f>IFERROR(__xludf.DUMMYFUNCTION("""COMPUTED_VALUE"""),585.0)</f>
        <v>585</v>
      </c>
      <c r="M86" s="1" t="str">
        <f>IFERROR(__xludf.DUMMYFUNCTION("""COMPUTED_VALUE"""),"Дама с собачкой: особенности композиции")</f>
        <v>Дама с собачкой: особенности композиции</v>
      </c>
      <c r="N86" s="1">
        <f>IFERROR(__xludf.DUMMYFUNCTION("""COMPUTED_VALUE"""),685.0)</f>
        <v>685</v>
      </c>
      <c r="O86" s="1"/>
      <c r="P86" s="1"/>
      <c r="Q86" s="1" t="str">
        <f>IFERROR(__xludf.DUMMYFUNCTION("""COMPUTED_VALUE"""),"В.В. Маяковского «Необычайное приключение, бывшее с Владимиром Маяковским летом на даче»")</f>
        <v>В.В. Маяковского «Необычайное приключение, бывшее с Владимиром Маяковским летом на даче»</v>
      </c>
      <c r="R86" s="1">
        <f>IFERROR(__xludf.DUMMYFUNCTION("""COMPUTED_VALUE"""),885.0)</f>
        <v>885</v>
      </c>
      <c r="S86" s="1"/>
      <c r="T86" s="1"/>
      <c r="U86" s="1" t="str">
        <f>IFERROR(__xludf.DUMMYFUNCTION("""COMPUTED_VALUE"""),"Митька Коршунов")</f>
        <v>Митька Коршунов</v>
      </c>
      <c r="V86" s="1">
        <f>IFERROR(__xludf.DUMMYFUNCTION("""COMPUTED_VALUE"""),1085.0)</f>
        <v>1085</v>
      </c>
      <c r="W86" s="1"/>
      <c r="X86" s="1"/>
      <c r="Y86" s="1"/>
      <c r="Z86" s="1"/>
    </row>
    <row r="87">
      <c r="A87" s="1" t="str">
        <f>IFERROR(__xludf.DUMMYFUNCTION("""COMPUTED_VALUE"""),"Навык сопоставления двух произведений")</f>
        <v>Навык сопоставления двух произведений</v>
      </c>
      <c r="B87" s="1">
        <f>IFERROR(__xludf.DUMMYFUNCTION("""COMPUTED_VALUE"""),86.0)</f>
        <v>86</v>
      </c>
      <c r="C87" s="1" t="str">
        <f>IFERROR(__xludf.DUMMYFUNCTION("""COMPUTED_VALUE"""),"Софья Павловна Фамусова")</f>
        <v>Софья Павловна Фамусова</v>
      </c>
      <c r="D87" s="1">
        <f>IFERROR(__xludf.DUMMYFUNCTION("""COMPUTED_VALUE"""),186.0)</f>
        <v>186</v>
      </c>
      <c r="E87" s="1" t="str">
        <f>IFERROR(__xludf.DUMMYFUNCTION("""COMPUTED_VALUE"""),"Автобиографичность произведения «Евгений Онегин» ")</f>
        <v>Автобиографичность произведения «Евгений Онегин» </v>
      </c>
      <c r="F87" s="1">
        <f>IFERROR(__xludf.DUMMYFUNCTION("""COMPUTED_VALUE"""),286.0)</f>
        <v>286</v>
      </c>
      <c r="G87" s="1" t="str">
        <f>IFERROR(__xludf.DUMMYFUNCTION("""COMPUTED_VALUE"""),"Гоголь Н.В. — «Шинель»: особенности произведения")</f>
        <v>Гоголь Н.В. — «Шинель»: особенности произведения</v>
      </c>
      <c r="H87" s="1">
        <f>IFERROR(__xludf.DUMMYFUNCTION("""COMPUTED_VALUE"""),386.0)</f>
        <v>386</v>
      </c>
      <c r="I87" s="1"/>
      <c r="J87" s="1"/>
      <c r="K87" s="1" t="str">
        <f>IFERROR(__xludf.DUMMYFUNCTION("""COMPUTED_VALUE"""),"Образ Премудрого Пискаря")</f>
        <v>Образ Премудрого Пискаря</v>
      </c>
      <c r="L87" s="1">
        <f>IFERROR(__xludf.DUMMYFUNCTION("""COMPUTED_VALUE"""),586.0)</f>
        <v>586</v>
      </c>
      <c r="M87" s="1" t="str">
        <f>IFERROR(__xludf.DUMMYFUNCTION("""COMPUTED_VALUE"""),"Дама с собачкой: основные образы")</f>
        <v>Дама с собачкой: основные образы</v>
      </c>
      <c r="N87" s="1">
        <f>IFERROR(__xludf.DUMMYFUNCTION("""COMPUTED_VALUE"""),686.0)</f>
        <v>686</v>
      </c>
      <c r="O87" s="1"/>
      <c r="P87" s="1"/>
      <c r="Q87" s="1" t="str">
        <f>IFERROR(__xludf.DUMMYFUNCTION("""COMPUTED_VALUE"""),"«Незнакомка»: анализ произведения")</f>
        <v>«Незнакомка»: анализ произведения</v>
      </c>
      <c r="R87" s="1">
        <f>IFERROR(__xludf.DUMMYFUNCTION("""COMPUTED_VALUE"""),886.0)</f>
        <v>886</v>
      </c>
      <c r="S87" s="1"/>
      <c r="T87" s="1"/>
      <c r="U87" s="1" t="str">
        <f>IFERROR(__xludf.DUMMYFUNCTION("""COMPUTED_VALUE"""),"Семья купцов Моховых")</f>
        <v>Семья купцов Моховых</v>
      </c>
      <c r="V87" s="1">
        <f>IFERROR(__xludf.DUMMYFUNCTION("""COMPUTED_VALUE"""),1086.0)</f>
        <v>1086</v>
      </c>
      <c r="W87" s="1"/>
      <c r="X87" s="1"/>
      <c r="Y87" s="1"/>
      <c r="Z87" s="1"/>
    </row>
    <row r="88">
      <c r="A88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B88" s="1">
        <f>IFERROR(__xludf.DUMMYFUNCTION("""COMPUTED_VALUE"""),87.0)</f>
        <v>87</v>
      </c>
      <c r="C88" s="1" t="str">
        <f>IFERROR(__xludf.DUMMYFUNCTION("""COMPUTED_VALUE"""),"Художественный метод пьесы – ""Горе от ума""")</f>
        <v>Художественный метод пьесы – "Горе от ума"</v>
      </c>
      <c r="D88" s="1">
        <f>IFERROR(__xludf.DUMMYFUNCTION("""COMPUTED_VALUE"""),187.0)</f>
        <v>187</v>
      </c>
      <c r="E88" s="1" t="str">
        <f>IFERROR(__xludf.DUMMYFUNCTION("""COMPUTED_VALUE"""),"Зеркальная композиция «Евгений Онегин» ")</f>
        <v>Зеркальная композиция «Евгений Онегин» </v>
      </c>
      <c r="F88" s="1">
        <f>IFERROR(__xludf.DUMMYFUNCTION("""COMPUTED_VALUE"""),287.0)</f>
        <v>287</v>
      </c>
      <c r="G88" s="1" t="str">
        <f>IFERROR(__xludf.DUMMYFUNCTION("""COMPUTED_VALUE"""),"Тема «маленького человека» «Шинель»")</f>
        <v>Тема «маленького человека» «Шинель»</v>
      </c>
      <c r="H88" s="1">
        <f>IFERROR(__xludf.DUMMYFUNCTION("""COMPUTED_VALUE"""),387.0)</f>
        <v>387</v>
      </c>
      <c r="I88" s="1"/>
      <c r="J88" s="1"/>
      <c r="K88" s="1" t="str">
        <f>IFERROR(__xludf.DUMMYFUNCTION("""COMPUTED_VALUE"""),"М.Е. Салтыков-Щедрин, ""История одного города""")</f>
        <v>М.Е. Салтыков-Щедрин, "История одного города"</v>
      </c>
      <c r="L88" s="1">
        <f>IFERROR(__xludf.DUMMYFUNCTION("""COMPUTED_VALUE"""),587.0)</f>
        <v>587</v>
      </c>
      <c r="M88" s="1" t="str">
        <f>IFERROR(__xludf.DUMMYFUNCTION("""COMPUTED_VALUE"""),"Чехов А.П. ""Студент"": особенности и анализ произведения")</f>
        <v>Чехов А.П. "Студент": особенности и анализ произведения</v>
      </c>
      <c r="N88" s="1">
        <f>IFERROR(__xludf.DUMMYFUNCTION("""COMPUTED_VALUE"""),687.0)</f>
        <v>687</v>
      </c>
      <c r="O88" s="1"/>
      <c r="P88" s="1"/>
      <c r="Q88" s="1" t="str">
        <f>IFERROR(__xludf.DUMMYFUNCTION("""COMPUTED_VALUE"""),"А.А. Блок «Россия»: анализ произведения")</f>
        <v>А.А. Блок «Россия»: анализ произведения</v>
      </c>
      <c r="R88" s="1">
        <f>IFERROR(__xludf.DUMMYFUNCTION("""COMPUTED_VALUE"""),887.0)</f>
        <v>887</v>
      </c>
      <c r="S88" s="1"/>
      <c r="T88" s="1"/>
      <c r="U88" s="1" t="str">
        <f>IFERROR(__xludf.DUMMYFUNCTION("""COMPUTED_VALUE"""),"М.А. Булгаков «Белая гвардия»: особенности произведения")</f>
        <v>М.А. Булгаков «Белая гвардия»: особенности произведения</v>
      </c>
      <c r="V88" s="1">
        <f>IFERROR(__xludf.DUMMYFUNCTION("""COMPUTED_VALUE"""),1087.0)</f>
        <v>1087</v>
      </c>
      <c r="W88" s="1"/>
      <c r="X88" s="1"/>
      <c r="Y88" s="1"/>
      <c r="Z88" s="1"/>
    </row>
    <row r="89">
      <c r="A89" s="1" t="str">
        <f>IFERROR(__xludf.DUMMYFUNCTION("""COMPUTED_VALUE"""),"Навык аргументации")</f>
        <v>Навык аргументации</v>
      </c>
      <c r="B89" s="1">
        <f>IFERROR(__xludf.DUMMYFUNCTION("""COMPUTED_VALUE"""),88.0)</f>
        <v>88</v>
      </c>
      <c r="C89" s="1" t="str">
        <f>IFERROR(__xludf.DUMMYFUNCTION("""COMPUTED_VALUE"""),"Реализм – ""Горе от ума""")</f>
        <v>Реализм – "Горе от ума"</v>
      </c>
      <c r="D89" s="1">
        <f>IFERROR(__xludf.DUMMYFUNCTION("""COMPUTED_VALUE"""),188.0)</f>
        <v>188</v>
      </c>
      <c r="E89" s="1" t="str">
        <f>IFERROR(__xludf.DUMMYFUNCTION("""COMPUTED_VALUE"""),"Сон Татьяны")</f>
        <v>Сон Татьяны</v>
      </c>
      <c r="F89" s="1">
        <f>IFERROR(__xludf.DUMMYFUNCTION("""COMPUTED_VALUE"""),288.0)</f>
        <v>288</v>
      </c>
      <c r="G89" s="1" t="str">
        <f>IFERROR(__xludf.DUMMYFUNCTION("""COMPUTED_VALUE"""),"Идея «Шинель»")</f>
        <v>Идея «Шинель»</v>
      </c>
      <c r="H89" s="1">
        <f>IFERROR(__xludf.DUMMYFUNCTION("""COMPUTED_VALUE"""),388.0)</f>
        <v>388</v>
      </c>
      <c r="I89" s="1"/>
      <c r="J89" s="1"/>
      <c r="K89" s="1" t="str">
        <f>IFERROR(__xludf.DUMMYFUNCTION("""COMPUTED_VALUE"""),"М.Е. Салтыков-Щедрин, ""История одного города"": история создания")</f>
        <v>М.Е. Салтыков-Щедрин, "История одного города": история создания</v>
      </c>
      <c r="L89" s="1">
        <f>IFERROR(__xludf.DUMMYFUNCTION("""COMPUTED_VALUE"""),588.0)</f>
        <v>588</v>
      </c>
      <c r="M89" s="1" t="str">
        <f>IFERROR(__xludf.DUMMYFUNCTION("""COMPUTED_VALUE"""),"Студент: темы, идеи")</f>
        <v>Студент: темы, идеи</v>
      </c>
      <c r="N89" s="1">
        <f>IFERROR(__xludf.DUMMYFUNCTION("""COMPUTED_VALUE"""),688.0)</f>
        <v>688</v>
      </c>
      <c r="O89" s="1"/>
      <c r="P89" s="1"/>
      <c r="Q89" s="1" t="str">
        <f>IFERROR(__xludf.DUMMYFUNCTION("""COMPUTED_VALUE"""),"«Ночь, улица, фонарь, аптека…»: анализ произведения")</f>
        <v>«Ночь, улица, фонарь, аптека…»: анализ произведения</v>
      </c>
      <c r="R89" s="1">
        <f>IFERROR(__xludf.DUMMYFUNCTION("""COMPUTED_VALUE"""),888.0)</f>
        <v>888</v>
      </c>
      <c r="S89" s="1"/>
      <c r="T89" s="1"/>
      <c r="U89" s="1" t="str">
        <f>IFERROR(__xludf.DUMMYFUNCTION("""COMPUTED_VALUE"""),"«Белая гвардия»: тема, идея")</f>
        <v>«Белая гвардия»: тема, идея</v>
      </c>
      <c r="V89" s="1">
        <f>IFERROR(__xludf.DUMMYFUNCTION("""COMPUTED_VALUE"""),1088.0)</f>
        <v>1088</v>
      </c>
      <c r="W89" s="1"/>
      <c r="X89" s="1"/>
      <c r="Y89" s="1"/>
      <c r="Z89" s="1"/>
    </row>
    <row r="90">
      <c r="A90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B90" s="1">
        <f>IFERROR(__xludf.DUMMYFUNCTION("""COMPUTED_VALUE"""),89.0)</f>
        <v>89</v>
      </c>
      <c r="C90" s="1" t="str">
        <f>IFERROR(__xludf.DUMMYFUNCTION("""COMPUTED_VALUE"""),"Классицизм – ""Горе от ума""")</f>
        <v>Классицизм – "Горе от ума"</v>
      </c>
      <c r="D90" s="1">
        <f>IFERROR(__xludf.DUMMYFUNCTION("""COMPUTED_VALUE"""),189.0)</f>
        <v>189</v>
      </c>
      <c r="E90" s="1" t="str">
        <f>IFERROR(__xludf.DUMMYFUNCTION("""COMPUTED_VALUE"""),"Дуэль")</f>
        <v>Дуэль</v>
      </c>
      <c r="F90" s="1">
        <f>IFERROR(__xludf.DUMMYFUNCTION("""COMPUTED_VALUE"""),289.0)</f>
        <v>289</v>
      </c>
      <c r="G90" s="1" t="str">
        <f>IFERROR(__xludf.DUMMYFUNCTION("""COMPUTED_VALUE"""),"Композиция «Шинель»")</f>
        <v>Композиция «Шинель»</v>
      </c>
      <c r="H90" s="1">
        <f>IFERROR(__xludf.DUMMYFUNCTION("""COMPUTED_VALUE"""),389.0)</f>
        <v>389</v>
      </c>
      <c r="I90" s="1"/>
      <c r="J90" s="1"/>
      <c r="K90" s="1" t="str">
        <f>IFERROR(__xludf.DUMMYFUNCTION("""COMPUTED_VALUE"""),"Особенности произвдения ""История одного города""")</f>
        <v>Особенности произвдения "История одного города"</v>
      </c>
      <c r="L90" s="1">
        <f>IFERROR(__xludf.DUMMYFUNCTION("""COMPUTED_VALUE"""),589.0)</f>
        <v>589</v>
      </c>
      <c r="M90" s="1" t="str">
        <f>IFERROR(__xludf.DUMMYFUNCTION("""COMPUTED_VALUE"""),"Студент: особенности композиции")</f>
        <v>Студент: особенности композиции</v>
      </c>
      <c r="N90" s="1">
        <f>IFERROR(__xludf.DUMMYFUNCTION("""COMPUTED_VALUE"""),689.0)</f>
        <v>689</v>
      </c>
      <c r="O90" s="1"/>
      <c r="P90" s="1"/>
      <c r="Q90" s="1" t="str">
        <f>IFERROR(__xludf.DUMMYFUNCTION("""COMPUTED_VALUE"""),"«В ресторане»: анализ произведения")</f>
        <v>«В ресторане»: анализ произведения</v>
      </c>
      <c r="R90" s="1">
        <f>IFERROR(__xludf.DUMMYFUNCTION("""COMPUTED_VALUE"""),889.0)</f>
        <v>889</v>
      </c>
      <c r="S90" s="1"/>
      <c r="T90" s="1"/>
      <c r="U90" s="1" t="str">
        <f>IFERROR(__xludf.DUMMYFUNCTION("""COMPUTED_VALUE"""),"«Белая гвардия»: проблематика")</f>
        <v>«Белая гвардия»: проблематика</v>
      </c>
      <c r="V90" s="1">
        <f>IFERROR(__xludf.DUMMYFUNCTION("""COMPUTED_VALUE"""),1089.0)</f>
        <v>1089</v>
      </c>
      <c r="W90" s="1"/>
      <c r="X90" s="1"/>
      <c r="Y90" s="1"/>
      <c r="Z90" s="1"/>
    </row>
    <row r="91">
      <c r="A91" s="1" t="str">
        <f>IFERROR(__xludf.DUMMYFUNCTION("""COMPUTED_VALUE"""),"Грамотная речь")</f>
        <v>Грамотная речь</v>
      </c>
      <c r="B91" s="1">
        <f>IFERROR(__xludf.DUMMYFUNCTION("""COMPUTED_VALUE"""),90.0)</f>
        <v>90</v>
      </c>
      <c r="C91" s="1" t="str">
        <f>IFERROR(__xludf.DUMMYFUNCTION("""COMPUTED_VALUE"""),"Романтизм – ""Горе от ума""")</f>
        <v>Романтизм – "Горе от ума"</v>
      </c>
      <c r="D91" s="1">
        <f>IFERROR(__xludf.DUMMYFUNCTION("""COMPUTED_VALUE"""),190.0)</f>
        <v>190</v>
      </c>
      <c r="E91" s="1" t="str">
        <f>IFERROR(__xludf.DUMMYFUNCTION("""COMPUTED_VALUE"""),"Лирические отступления «Евгений Онегин» ")</f>
        <v>Лирические отступления «Евгений Онегин» </v>
      </c>
      <c r="F91" s="1">
        <f>IFERROR(__xludf.DUMMYFUNCTION("""COMPUTED_VALUE"""),290.0)</f>
        <v>290</v>
      </c>
      <c r="G91" s="1" t="str">
        <f>IFERROR(__xludf.DUMMYFUNCTION("""COMPUTED_VALUE"""),"«Петербургские повести» Гоголь Н.В.")</f>
        <v>«Петербургские повести» Гоголь Н.В.</v>
      </c>
      <c r="H91" s="1">
        <f>IFERROR(__xludf.DUMMYFUNCTION("""COMPUTED_VALUE"""),390.0)</f>
        <v>390</v>
      </c>
      <c r="I91" s="1"/>
      <c r="J91" s="1"/>
      <c r="K91" s="1" t="str">
        <f>IFERROR(__xludf.DUMMYFUNCTION("""COMPUTED_VALUE"""),"Сюжет ""История одного города""")</f>
        <v>Сюжет "История одного города"</v>
      </c>
      <c r="L91" s="1">
        <f>IFERROR(__xludf.DUMMYFUNCTION("""COMPUTED_VALUE"""),590.0)</f>
        <v>590</v>
      </c>
      <c r="M91" s="1" t="str">
        <f>IFERROR(__xludf.DUMMYFUNCTION("""COMPUTED_VALUE"""),"Студент: основные образы")</f>
        <v>Студент: основные образы</v>
      </c>
      <c r="N91" s="1">
        <f>IFERROR(__xludf.DUMMYFUNCTION("""COMPUTED_VALUE"""),690.0)</f>
        <v>690</v>
      </c>
      <c r="O91" s="1"/>
      <c r="P91" s="1"/>
      <c r="Q91" s="1" t="str">
        <f>IFERROR(__xludf.DUMMYFUNCTION("""COMPUTED_VALUE"""),"В.В. Маяковский «Дешевая распродажа»")</f>
        <v>В.В. Маяковский «Дешевая распродажа»</v>
      </c>
      <c r="R91" s="1">
        <f>IFERROR(__xludf.DUMMYFUNCTION("""COMPUTED_VALUE"""),890.0)</f>
        <v>890</v>
      </c>
      <c r="S91" s="1"/>
      <c r="T91" s="1"/>
      <c r="U91" s="1" t="str">
        <f>IFERROR(__xludf.DUMMYFUNCTION("""COMPUTED_VALUE"""),"«Белая гвардия»: конфликт")</f>
        <v>«Белая гвардия»: конфликт</v>
      </c>
      <c r="V91" s="1">
        <f>IFERROR(__xludf.DUMMYFUNCTION("""COMPUTED_VALUE"""),1090.0)</f>
        <v>1090</v>
      </c>
      <c r="W91" s="1"/>
      <c r="X91" s="1"/>
      <c r="Y91" s="1"/>
      <c r="Z91" s="1"/>
    </row>
    <row r="92">
      <c r="A92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B92" s="1">
        <f>IFERROR(__xludf.DUMMYFUNCTION("""COMPUTED_VALUE"""),91.0)</f>
        <v>91</v>
      </c>
      <c r="C92" s="1" t="str">
        <f>IFERROR(__xludf.DUMMYFUNCTION("""COMPUTED_VALUE"""),"Жанр – ""Горе от ума""")</f>
        <v>Жанр – "Горе от ума"</v>
      </c>
      <c r="D92" s="1">
        <f>IFERROR(__xludf.DUMMYFUNCTION("""COMPUTED_VALUE"""),191.0)</f>
        <v>191</v>
      </c>
      <c r="E92" s="1" t="str">
        <f>IFERROR(__xludf.DUMMYFUNCTION("""COMPUTED_VALUE"""),"Онегинская строфа")</f>
        <v>Онегинская строфа</v>
      </c>
      <c r="F92" s="1">
        <f>IFERROR(__xludf.DUMMYFUNCTION("""COMPUTED_VALUE"""),291.0)</f>
        <v>291</v>
      </c>
      <c r="G92" s="1" t="str">
        <f>IFERROR(__xludf.DUMMYFUNCTION("""COMPUTED_VALUE"""),"Конфликт «Шинель»")</f>
        <v>Конфликт «Шинель»</v>
      </c>
      <c r="H92" s="1">
        <f>IFERROR(__xludf.DUMMYFUNCTION("""COMPUTED_VALUE"""),391.0)</f>
        <v>391</v>
      </c>
      <c r="I92" s="1"/>
      <c r="J92" s="1"/>
      <c r="K92" s="1" t="str">
        <f>IFERROR(__xludf.DUMMYFUNCTION("""COMPUTED_VALUE"""),"Основные образы ""История одного города""")</f>
        <v>Основные образы "История одного города"</v>
      </c>
      <c r="L92" s="1">
        <f>IFERROR(__xludf.DUMMYFUNCTION("""COMPUTED_VALUE"""),591.0)</f>
        <v>591</v>
      </c>
      <c r="M92" s="1" t="str">
        <f>IFERROR(__xludf.DUMMYFUNCTION("""COMPUTED_VALUE"""),"Н.С. Лесков “Леди Макбет Мценского уезда”")</f>
        <v>Н.С. Лесков “Леди Макбет Мценского уезда”</v>
      </c>
      <c r="N92" s="1">
        <f>IFERROR(__xludf.DUMMYFUNCTION("""COMPUTED_VALUE"""),691.0)</f>
        <v>691</v>
      </c>
      <c r="O92" s="1"/>
      <c r="P92" s="1"/>
      <c r="Q92" s="1" t="str">
        <f>IFERROR(__xludf.DUMMYFUNCTION("""COMPUTED_VALUE"""),"В.В. Маяковский  «Письмо Татьяне Яковлевой»")</f>
        <v>В.В. Маяковский  «Письмо Татьяне Яковлевой»</v>
      </c>
      <c r="R92" s="1">
        <f>IFERROR(__xludf.DUMMYFUNCTION("""COMPUTED_VALUE"""),891.0)</f>
        <v>891</v>
      </c>
      <c r="S92" s="1"/>
      <c r="T92" s="1"/>
      <c r="U92" s="1" t="str">
        <f>IFERROR(__xludf.DUMMYFUNCTION("""COMPUTED_VALUE"""),"«Белая гвардия»: композиция")</f>
        <v>«Белая гвардия»: композиция</v>
      </c>
      <c r="V92" s="1">
        <f>IFERROR(__xludf.DUMMYFUNCTION("""COMPUTED_VALUE"""),1091.0)</f>
        <v>1091</v>
      </c>
      <c r="W92" s="1"/>
      <c r="X92" s="1"/>
      <c r="Y92" s="1"/>
      <c r="Z92" s="1"/>
    </row>
    <row r="93">
      <c r="A93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B93" s="1">
        <f>IFERROR(__xludf.DUMMYFUNCTION("""COMPUTED_VALUE"""),92.0)</f>
        <v>92</v>
      </c>
      <c r="C93" s="1" t="str">
        <f>IFERROR(__xludf.DUMMYFUNCTION("""COMPUTED_VALUE"""),"Новаторство комедии Грибоедова А.С. – ""Горе от ума""")</f>
        <v>Новаторство комедии Грибоедова А.С. – "Горе от ума"</v>
      </c>
      <c r="D93" s="1">
        <f>IFERROR(__xludf.DUMMYFUNCTION("""COMPUTED_VALUE"""),192.0)</f>
        <v>192</v>
      </c>
      <c r="E93" s="1" t="str">
        <f>IFERROR(__xludf.DUMMYFUNCTION("""COMPUTED_VALUE"""),"Система образов «Евгений Онегин» ")</f>
        <v>Система образов «Евгений Онегин» </v>
      </c>
      <c r="F93" s="1">
        <f>IFERROR(__xludf.DUMMYFUNCTION("""COMPUTED_VALUE"""),292.0)</f>
        <v>292</v>
      </c>
      <c r="G93" s="1" t="str">
        <f>IFERROR(__xludf.DUMMYFUNCTION("""COMPUTED_VALUE"""),"Авторское отношение к герою «Шинель»")</f>
        <v>Авторское отношение к герою «Шинель»</v>
      </c>
      <c r="H93" s="1">
        <f>IFERROR(__xludf.DUMMYFUNCTION("""COMPUTED_VALUE"""),392.0)</f>
        <v>392</v>
      </c>
      <c r="I93" s="1"/>
      <c r="J93" s="1"/>
      <c r="K93" s="1" t="str">
        <f>IFERROR(__xludf.DUMMYFUNCTION("""COMPUTED_VALUE"""),"Композиция ""История одного города""")</f>
        <v>Композиция "История одного города"</v>
      </c>
      <c r="L93" s="1">
        <f>IFERROR(__xludf.DUMMYFUNCTION("""COMPUTED_VALUE"""),592.0)</f>
        <v>592</v>
      </c>
      <c r="M93" s="1" t="str">
        <f>IFERROR(__xludf.DUMMYFUNCTION("""COMPUTED_VALUE"""),"Л.Н. Толстой «Детство»")</f>
        <v>Л.Н. Толстой «Детство»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 t="str">
        <f>IFERROR(__xludf.DUMMYFUNCTION("""COMPUTED_VALUE"""),"«Белая гвардия»: история создания")</f>
        <v>«Белая гвардия»: история создания</v>
      </c>
      <c r="V93" s="1">
        <f>IFERROR(__xludf.DUMMYFUNCTION("""COMPUTED_VALUE"""),1092.0)</f>
        <v>1092</v>
      </c>
      <c r="W93" s="1"/>
      <c r="X93" s="1"/>
      <c r="Y93" s="1"/>
      <c r="Z93" s="1"/>
    </row>
    <row r="94">
      <c r="A94" s="1" t="str">
        <f>IFERROR(__xludf.DUMMYFUNCTION("""COMPUTED_VALUE"""),"Язык художественного произведения")</f>
        <v>Язык художественного произведения</v>
      </c>
      <c r="B94" s="1">
        <f>IFERROR(__xludf.DUMMYFUNCTION("""COMPUTED_VALUE"""),93.0)</f>
        <v>93</v>
      </c>
      <c r="C94" s="1"/>
      <c r="D94" s="1"/>
      <c r="E94" s="1" t="str">
        <f>IFERROR(__xludf.DUMMYFUNCTION("""COMPUTED_VALUE"""),"Евгений Онегин")</f>
        <v>Евгений Онегин</v>
      </c>
      <c r="F94" s="1">
        <f>IFERROR(__xludf.DUMMYFUNCTION("""COMPUTED_VALUE"""),293.0)</f>
        <v>293</v>
      </c>
      <c r="G94" s="1" t="str">
        <f>IFERROR(__xludf.DUMMYFUNCTION("""COMPUTED_VALUE"""),"Хронотоп «Шинель»")</f>
        <v>Хронотоп «Шинель»</v>
      </c>
      <c r="H94" s="1">
        <f>IFERROR(__xludf.DUMMYFUNCTION("""COMPUTED_VALUE"""),393.0)</f>
        <v>393</v>
      </c>
      <c r="I94" s="1"/>
      <c r="J94" s="1"/>
      <c r="K94" s="1" t="str">
        <f>IFERROR(__xludf.DUMMYFUNCTION("""COMPUTED_VALUE"""),"Тематика и конфликт ""История одного города""")</f>
        <v>Тематика и конфликт "История одного города"</v>
      </c>
      <c r="L94" s="1">
        <f>IFERROR(__xludf.DUMMYFUNCTION("""COMPUTED_VALUE"""),593.0)</f>
        <v>593</v>
      </c>
      <c r="M94" s="1" t="str">
        <f>IFERROR(__xludf.DUMMYFUNCTION("""COMPUTED_VALUE"""),"Ф.М. Достоевский «Бедные люди»")</f>
        <v>Ф.М. Достоевский «Бедные люди»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 t="str">
        <f>IFERROR(__xludf.DUMMYFUNCTION("""COMPUTED_VALUE"""),"«Белая гвардия»: сюжет")</f>
        <v>«Белая гвардия»: сюжет</v>
      </c>
      <c r="V94" s="1">
        <f>IFERROR(__xludf.DUMMYFUNCTION("""COMPUTED_VALUE"""),1093.0)</f>
        <v>1093</v>
      </c>
      <c r="W94" s="1"/>
      <c r="X94" s="1"/>
      <c r="Y94" s="1"/>
      <c r="Z94" s="1"/>
    </row>
    <row r="95">
      <c r="A95" s="1" t="str">
        <f>IFERROR(__xludf.DUMMYFUNCTION("""COMPUTED_VALUE"""),"Тип")</f>
        <v>Тип</v>
      </c>
      <c r="B95" s="1">
        <f>IFERROR(__xludf.DUMMYFUNCTION("""COMPUTED_VALUE"""),94.0)</f>
        <v>94</v>
      </c>
      <c r="C95" s="1"/>
      <c r="D95" s="1"/>
      <c r="E95" s="1" t="str">
        <f>IFERROR(__xludf.DUMMYFUNCTION("""COMPUTED_VALUE"""),"Татьяна Ларина")</f>
        <v>Татьяна Ларина</v>
      </c>
      <c r="F95" s="1">
        <f>IFERROR(__xludf.DUMMYFUNCTION("""COMPUTED_VALUE"""),294.0)</f>
        <v>294</v>
      </c>
      <c r="G95" s="1" t="str">
        <f>IFERROR(__xludf.DUMMYFUNCTION("""COMPUTED_VALUE"""),"Система образов «Шинель»")</f>
        <v>Система образов «Шинель»</v>
      </c>
      <c r="H95" s="1">
        <f>IFERROR(__xludf.DUMMYFUNCTION("""COMPUTED_VALUE"""),394.0)</f>
        <v>394</v>
      </c>
      <c r="I95" s="1"/>
      <c r="J95" s="1"/>
      <c r="K95" s="1" t="str">
        <f>IFERROR(__xludf.DUMMYFUNCTION("""COMPUTED_VALUE"""),"Художественное пространство ""История одного города""")</f>
        <v>Художественное пространство "История одного города"</v>
      </c>
      <c r="L95" s="1">
        <f>IFERROR(__xludf.DUMMYFUNCTION("""COMPUTED_VALUE"""),594.0)</f>
        <v>594</v>
      </c>
      <c r="M95" s="1"/>
      <c r="N95" s="1"/>
      <c r="O95" s="1"/>
      <c r="P95" s="1"/>
      <c r="Q95" s="1"/>
      <c r="R95" s="1"/>
      <c r="S95" s="1"/>
      <c r="T95" s="1"/>
      <c r="U95" s="1" t="str">
        <f>IFERROR(__xludf.DUMMYFUNCTION("""COMPUTED_VALUE"""),"«Белая гвардия»: смысл эпиграфа")</f>
        <v>«Белая гвардия»: смысл эпиграфа</v>
      </c>
      <c r="V95" s="1">
        <f>IFERROR(__xludf.DUMMYFUNCTION("""COMPUTED_VALUE"""),1094.0)</f>
        <v>1094</v>
      </c>
      <c r="W95" s="1"/>
      <c r="X95" s="1"/>
      <c r="Y95" s="1"/>
      <c r="Z95" s="1"/>
    </row>
    <row r="96">
      <c r="A96" s="1" t="str">
        <f>IFERROR(__xludf.DUMMYFUNCTION("""COMPUTED_VALUE"""),"Сатира")</f>
        <v>Сатира</v>
      </c>
      <c r="B96" s="1">
        <f>IFERROR(__xludf.DUMMYFUNCTION("""COMPUTED_VALUE"""),95.0)</f>
        <v>95</v>
      </c>
      <c r="C96" s="1"/>
      <c r="D96" s="1"/>
      <c r="E96" s="1" t="str">
        <f>IFERROR(__xludf.DUMMYFUNCTION("""COMPUTED_VALUE"""),"Владимир Ленский")</f>
        <v>Владимир Ленский</v>
      </c>
      <c r="F96" s="1">
        <f>IFERROR(__xludf.DUMMYFUNCTION("""COMPUTED_VALUE"""),295.0)</f>
        <v>295</v>
      </c>
      <c r="G96" s="1" t="str">
        <f>IFERROR(__xludf.DUMMYFUNCTION("""COMPUTED_VALUE"""),"Петербург «Шинель»")</f>
        <v>Петербург «Шинель»</v>
      </c>
      <c r="H96" s="1">
        <f>IFERROR(__xludf.DUMMYFUNCTION("""COMPUTED_VALUE"""),395.0)</f>
        <v>395</v>
      </c>
      <c r="I96" s="1"/>
      <c r="J96" s="1"/>
      <c r="K96" s="1" t="str">
        <f>IFERROR(__xludf.DUMMYFUNCTION("""COMPUTED_VALUE"""),"Гротеск ""История одного города""")</f>
        <v>Гротеск "История одного города"</v>
      </c>
      <c r="L96" s="1">
        <f>IFERROR(__xludf.DUMMYFUNCTION("""COMPUTED_VALUE"""),595.0)</f>
        <v>595</v>
      </c>
      <c r="M96" s="1"/>
      <c r="N96" s="1"/>
      <c r="O96" s="1"/>
      <c r="P96" s="1"/>
      <c r="Q96" s="1"/>
      <c r="R96" s="1"/>
      <c r="S96" s="1"/>
      <c r="T96" s="1"/>
      <c r="U96" s="1" t="str">
        <f>IFERROR(__xludf.DUMMYFUNCTION("""COMPUTED_VALUE"""),"Алексей Васильевич Турбин")</f>
        <v>Алексей Васильевич Турбин</v>
      </c>
      <c r="V96" s="1">
        <f>IFERROR(__xludf.DUMMYFUNCTION("""COMPUTED_VALUE"""),1095.0)</f>
        <v>1095</v>
      </c>
      <c r="W96" s="1"/>
      <c r="X96" s="1"/>
      <c r="Y96" s="1"/>
      <c r="Z96" s="1"/>
    </row>
    <row r="97">
      <c r="A97" s="1" t="str">
        <f>IFERROR(__xludf.DUMMYFUNCTION("""COMPUTED_VALUE"""),"Юмор")</f>
        <v>Юмор</v>
      </c>
      <c r="B97" s="1">
        <f>IFERROR(__xludf.DUMMYFUNCTION("""COMPUTED_VALUE"""),96.0)</f>
        <v>96</v>
      </c>
      <c r="C97" s="1"/>
      <c r="D97" s="1"/>
      <c r="E97" s="1" t="str">
        <f>IFERROR(__xludf.DUMMYFUNCTION("""COMPUTED_VALUE"""),"Ольга Ларина")</f>
        <v>Ольга Ларина</v>
      </c>
      <c r="F97" s="1">
        <f>IFERROR(__xludf.DUMMYFUNCTION("""COMPUTED_VALUE"""),296.0)</f>
        <v>296</v>
      </c>
      <c r="G97" s="1"/>
      <c r="H97" s="1"/>
      <c r="I97" s="1"/>
      <c r="J97" s="1"/>
      <c r="K97" s="1" t="str">
        <f>IFERROR(__xludf.DUMMYFUNCTION("""COMPUTED_VALUE"""),"Гипербола ""История одного города""")</f>
        <v>Гипербола "История одного города"</v>
      </c>
      <c r="L97" s="1">
        <f>IFERROR(__xludf.DUMMYFUNCTION("""COMPUTED_VALUE"""),596.0)</f>
        <v>596</v>
      </c>
      <c r="M97" s="1"/>
      <c r="N97" s="1"/>
      <c r="O97" s="1"/>
      <c r="P97" s="1"/>
      <c r="Q97" s="1"/>
      <c r="R97" s="1"/>
      <c r="S97" s="1"/>
      <c r="T97" s="1"/>
      <c r="U97" s="1" t="str">
        <f>IFERROR(__xludf.DUMMYFUNCTION("""COMPUTED_VALUE"""),"Николай Васильевич Турбин (Николка)")</f>
        <v>Николай Васильевич Турбин (Николка)</v>
      </c>
      <c r="V97" s="1">
        <f>IFERROR(__xludf.DUMMYFUNCTION("""COMPUTED_VALUE"""),1096.0)</f>
        <v>1096</v>
      </c>
      <c r="W97" s="1"/>
      <c r="X97" s="1"/>
      <c r="Y97" s="1"/>
      <c r="Z97" s="1"/>
    </row>
    <row r="98">
      <c r="A98" s="1" t="str">
        <f>IFERROR(__xludf.DUMMYFUNCTION("""COMPUTED_VALUE"""),"Ирония")</f>
        <v>Ирония</v>
      </c>
      <c r="B98" s="1">
        <f>IFERROR(__xludf.DUMMYFUNCTION("""COMPUTED_VALUE"""),97.0)</f>
        <v>97</v>
      </c>
      <c r="C98" s="1"/>
      <c r="D98" s="1"/>
      <c r="E98" s="1" t="str">
        <f>IFERROR(__xludf.DUMMYFUNCTION("""COMPUTED_VALUE"""),"Пушкин А.С. — «Песнь о вещем Олеге»")</f>
        <v>Пушкин А.С. — «Песнь о вещем Олеге»</v>
      </c>
      <c r="F98" s="1">
        <f>IFERROR(__xludf.DUMMYFUNCTION("""COMPUTED_VALUE"""),297.0)</f>
        <v>297</v>
      </c>
      <c r="G98" s="1"/>
      <c r="H98" s="1"/>
      <c r="I98" s="1"/>
      <c r="J98" s="1"/>
      <c r="K98" s="1" t="str">
        <f>IFERROR(__xludf.DUMMYFUNCTION("""COMPUTED_VALUE"""),"Лирика А.К. Толстого")</f>
        <v>Лирика А.К. Толстого</v>
      </c>
      <c r="L98" s="1">
        <f>IFERROR(__xludf.DUMMYFUNCTION("""COMPUTED_VALUE"""),597.0)</f>
        <v>597</v>
      </c>
      <c r="M98" s="1"/>
      <c r="N98" s="1"/>
      <c r="O98" s="1"/>
      <c r="P98" s="1"/>
      <c r="Q98" s="1"/>
      <c r="R98" s="1"/>
      <c r="S98" s="1"/>
      <c r="T98" s="1"/>
      <c r="U98" s="1" t="str">
        <f>IFERROR(__xludf.DUMMYFUNCTION("""COMPUTED_VALUE"""),"Елена Васильевна Турбина-Тальберг")</f>
        <v>Елена Васильевна Турбина-Тальберг</v>
      </c>
      <c r="V98" s="1">
        <f>IFERROR(__xludf.DUMMYFUNCTION("""COMPUTED_VALUE"""),1097.0)</f>
        <v>1097</v>
      </c>
      <c r="W98" s="1"/>
      <c r="X98" s="1"/>
      <c r="Y98" s="1"/>
      <c r="Z98" s="1"/>
    </row>
    <row r="99">
      <c r="A99" s="1" t="str">
        <f>IFERROR(__xludf.DUMMYFUNCTION("""COMPUTED_VALUE"""),"Сарказм")</f>
        <v>Сарказм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 t="str">
        <f>IFERROR(__xludf.DUMMYFUNCTION("""COMPUTED_VALUE"""),"Виктор Викторович Мышлаевский")</f>
        <v>Виктор Викторович Мышлаевский</v>
      </c>
      <c r="V99" s="1">
        <f>IFERROR(__xludf.DUMMYFUNCTION("""COMPUTED_VALUE"""),1098.0)</f>
        <v>1098</v>
      </c>
      <c r="W99" s="1"/>
      <c r="X99" s="1"/>
      <c r="Y99" s="1"/>
      <c r="Z99" s="1"/>
    </row>
    <row r="100">
      <c r="A100" s="1" t="str">
        <f>IFERROR(__xludf.DUMMYFUNCTION("""COMPUTED_VALUE"""),"Гротеск")</f>
        <v>Гротеск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 t="str">
        <f>IFERROR(__xludf.DUMMYFUNCTION("""COMPUTED_VALUE"""),"Биография Б.Л. Пастернака")</f>
        <v>Биография Б.Л. Пастернака</v>
      </c>
      <c r="V100" s="1">
        <f>IFERROR(__xludf.DUMMYFUNCTION("""COMPUTED_VALUE"""),1099.0)</f>
        <v>1099</v>
      </c>
      <c r="W100" s="1"/>
      <c r="X100" s="1"/>
      <c r="Y100" s="1"/>
      <c r="Z100" s="1"/>
    </row>
    <row r="101">
      <c r="A101" s="1" t="str">
        <f>IFERROR(__xludf.DUMMYFUNCTION("""COMPUTED_VALUE"""),"Риторический вопрос")</f>
        <v>Риторический вопрос</v>
      </c>
      <c r="B101" s="1">
        <f>IFERROR(__xludf.DUMMYFUNCTION("""COMPUTED_VALUE"""),1301.0)</f>
        <v>1301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str">
        <f>IFERROR(__xludf.DUMMYFUNCTION("""COMPUTED_VALUE"""),"“Февраль. Достать чернил и плакать!..”: анализ произведения")</f>
        <v>“Февраль. Достать чернил и плакать!..”: анализ произведения</v>
      </c>
      <c r="V101" s="1">
        <f>IFERROR(__xludf.DUMMYFUNCTION("""COMPUTED_VALUE"""),1410.0)</f>
        <v>1410</v>
      </c>
      <c r="W101" s="1"/>
      <c r="X101" s="1"/>
      <c r="Y101" s="1"/>
      <c r="Z101" s="1"/>
    </row>
    <row r="102">
      <c r="A102" s="1" t="str">
        <f>IFERROR(__xludf.DUMMYFUNCTION("""COMPUTED_VALUE"""),"Риторическое восклицание")</f>
        <v>Риторическое восклицание</v>
      </c>
      <c r="B102" s="1">
        <f>IFERROR(__xludf.DUMMYFUNCTION("""COMPUTED_VALUE"""),1302.0)</f>
        <v>1302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tr">
        <f>IFERROR(__xludf.DUMMYFUNCTION("""COMPUTED_VALUE"""),"“Снег идет…”: анализ произведения")</f>
        <v>“Снег идет…”: анализ произведения</v>
      </c>
      <c r="V102" s="1">
        <f>IFERROR(__xludf.DUMMYFUNCTION("""COMPUTED_VALUE"""),1411.0)</f>
        <v>1411</v>
      </c>
      <c r="W102" s="1"/>
      <c r="X102" s="1"/>
      <c r="Y102" s="1"/>
      <c r="Z102" s="1"/>
    </row>
    <row r="103">
      <c r="A103" s="1" t="str">
        <f>IFERROR(__xludf.DUMMYFUNCTION("""COMPUTED_VALUE"""),"Деталь")</f>
        <v>Деталь</v>
      </c>
      <c r="B103" s="1">
        <f>IFERROR(__xludf.DUMMYFUNCTION("""COMPUTED_VALUE"""),1303.0)</f>
        <v>1303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 t="str">
        <f>IFERROR(__xludf.DUMMYFUNCTION("""COMPUTED_VALUE"""),"«Определение поэзии»: анализ произведения")</f>
        <v>«Определение поэзии»: анализ произведения</v>
      </c>
      <c r="V103" s="1">
        <f>IFERROR(__xludf.DUMMYFUNCTION("""COMPUTED_VALUE"""),1412.0)</f>
        <v>1412</v>
      </c>
      <c r="W103" s="1"/>
      <c r="X103" s="1"/>
      <c r="Y103" s="1"/>
      <c r="Z103" s="1"/>
    </row>
    <row r="104">
      <c r="A104" s="1" t="str">
        <f>IFERROR(__xludf.DUMMYFUNCTION("""COMPUTED_VALUE"""),"Символ")</f>
        <v>Символ</v>
      </c>
      <c r="B104" s="1">
        <f>IFERROR(__xludf.DUMMYFUNCTION("""COMPUTED_VALUE"""),1304.0)</f>
        <v>1304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 t="str">
        <f>IFERROR(__xludf.DUMMYFUNCTION("""COMPUTED_VALUE"""),"«Во всем мне хочется дойти…»: анализ произведения")</f>
        <v>«Во всем мне хочется дойти…»: анализ произведения</v>
      </c>
      <c r="V104" s="1">
        <f>IFERROR(__xludf.DUMMYFUNCTION("""COMPUTED_VALUE"""),1413.0)</f>
        <v>1413</v>
      </c>
      <c r="W104" s="1"/>
      <c r="X104" s="1"/>
      <c r="Y104" s="1"/>
      <c r="Z104" s="1"/>
    </row>
    <row r="105">
      <c r="A105" s="1" t="str">
        <f>IFERROR(__xludf.DUMMYFUNCTION("""COMPUTED_VALUE"""),"Подтекст")</f>
        <v>Подтекст</v>
      </c>
      <c r="B105" s="1">
        <f>IFERROR(__xludf.DUMMYFUNCTION("""COMPUTED_VALUE"""),1305.0)</f>
        <v>1305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 t="str">
        <f>IFERROR(__xludf.DUMMYFUNCTION("""COMPUTED_VALUE"""),"«Гамлет»: анализ произведения")</f>
        <v>«Гамлет»: анализ произведения</v>
      </c>
      <c r="V105" s="1">
        <f>IFERROR(__xludf.DUMMYFUNCTION("""COMPUTED_VALUE"""),1414.0)</f>
        <v>1414</v>
      </c>
      <c r="W105" s="1"/>
      <c r="X105" s="1"/>
      <c r="Y105" s="1"/>
      <c r="Z105" s="1"/>
    </row>
    <row r="106">
      <c r="A106" s="1" t="str">
        <f>IFERROR(__xludf.DUMMYFUNCTION("""COMPUTED_VALUE"""),"Историзм")</f>
        <v>Историзм</v>
      </c>
      <c r="B106" s="1">
        <f>IFERROR(__xludf.DUMMYFUNCTION("""COMPUTED_VALUE"""),1306.0)</f>
        <v>1306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tr">
        <f>IFERROR(__xludf.DUMMYFUNCTION("""COMPUTED_VALUE"""),"«Зимняя ночь» («Мело, мело по всей земле…»): анализ произведения")</f>
        <v>«Зимняя ночь» («Мело, мело по всей земле…»): анализ произведения</v>
      </c>
      <c r="V106" s="1">
        <f>IFERROR(__xludf.DUMMYFUNCTION("""COMPUTED_VALUE"""),1415.0)</f>
        <v>1415</v>
      </c>
      <c r="W106" s="1"/>
      <c r="X106" s="1"/>
      <c r="Y106" s="1"/>
      <c r="Z106" s="1"/>
    </row>
    <row r="107">
      <c r="A107" s="1" t="str">
        <f>IFERROR(__xludf.DUMMYFUNCTION("""COMPUTED_VALUE"""),"Народность")</f>
        <v>Народность</v>
      </c>
      <c r="B107" s="1">
        <f>IFERROR(__xludf.DUMMYFUNCTION("""COMPUTED_VALUE"""),1307.0)</f>
        <v>1307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 t="str">
        <f>IFERROR(__xludf.DUMMYFUNCTION("""COMPUTED_VALUE"""),"Платонов А.П. “Юшка”: особенности произведения")</f>
        <v>Платонов А.П. “Юшка”: особенности произведения</v>
      </c>
      <c r="V107" s="1">
        <f>IFERROR(__xludf.DUMMYFUNCTION("""COMPUTED_VALUE"""),1416.0)</f>
        <v>1416</v>
      </c>
      <c r="W107" s="1"/>
      <c r="X107" s="1"/>
      <c r="Y107" s="1"/>
      <c r="Z107" s="1"/>
    </row>
    <row r="108">
      <c r="A108" s="1" t="str">
        <f>IFERROR(__xludf.DUMMYFUNCTION("""COMPUTED_VALUE"""),"Психологизм")</f>
        <v>Психологизм</v>
      </c>
      <c r="B108" s="1">
        <f>IFERROR(__xludf.DUMMYFUNCTION("""COMPUTED_VALUE"""),1308.0)</f>
        <v>1308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 t="str">
        <f>IFERROR(__xludf.DUMMYFUNCTION("""COMPUTED_VALUE"""),"“Юшка”: темы, идеи")</f>
        <v>“Юшка”: темы, идеи</v>
      </c>
      <c r="V108" s="1">
        <f>IFERROR(__xludf.DUMMYFUNCTION("""COMPUTED_VALUE"""),1417.0)</f>
        <v>1417</v>
      </c>
      <c r="W108" s="1"/>
      <c r="X108" s="1"/>
      <c r="Y108" s="1"/>
      <c r="Z108" s="1"/>
    </row>
    <row r="109">
      <c r="A109" s="1" t="str">
        <f>IFERROR(__xludf.DUMMYFUNCTION("""COMPUTED_VALUE"""),"Литературная критика по произведениям")</f>
        <v>Литературная критика по произведениям</v>
      </c>
      <c r="B109" s="1">
        <f>IFERROR(__xludf.DUMMYFUNCTION("""COMPUTED_VALUE"""),1309.0)</f>
        <v>1309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 t="str">
        <f>IFERROR(__xludf.DUMMYFUNCTION("""COMPUTED_VALUE"""),"Образ Юшки")</f>
        <v>Образ Юшки</v>
      </c>
      <c r="V109" s="1">
        <f>IFERROR(__xludf.DUMMYFUNCTION("""COMPUTED_VALUE"""),1418.0)</f>
        <v>1418</v>
      </c>
      <c r="W109" s="1"/>
      <c r="X109" s="1"/>
      <c r="Y109" s="1"/>
      <c r="Z109" s="1"/>
    </row>
    <row r="110">
      <c r="A110" s="1" t="str">
        <f>IFERROR(__xludf.DUMMYFUNCTION("""COMPUTED_VALUE"""),"Древнерусская литература")</f>
        <v>Древнерусская литература</v>
      </c>
      <c r="B110" s="1">
        <f>IFERROR(__xludf.DUMMYFUNCTION("""COMPUTED_VALUE"""),1310.0)</f>
        <v>1310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