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IFERROR(__xludf.DUMMYFUNCTION("IMPORTRANGE(""https://docs.google.com/spreadsheets/d/1bPFlO2gj1EC-wyL2Jyj90p8J3G6nn6eGty-MZ4deguY/edit"",""УМИТЫ!A:Z"")"),"Орфография")</f>
        <v>Орфография</v>
      </c>
      <c r="B1" s="1"/>
      <c r="C1" s="1" t="str">
        <f>IFERROR(__xludf.DUMMYFUNCTION("""COMPUTED_VALUE"""),"Пунктуация")</f>
        <v>Пунктуация</v>
      </c>
      <c r="D1" s="1"/>
      <c r="E1" s="1" t="str">
        <f>IFERROR(__xludf.DUMMYFUNCTION("""COMPUTED_VALUE"""),"Синтаксис")</f>
        <v>Синтаксис</v>
      </c>
      <c r="F1" s="1"/>
      <c r="G1" s="1" t="str">
        <f>IFERROR(__xludf.DUMMYFUNCTION("""COMPUTED_VALUE"""),"Грамматика")</f>
        <v>Грамматика</v>
      </c>
      <c r="H1" s="1"/>
      <c r="I1" s="1" t="str">
        <f>IFERROR(__xludf.DUMMYFUNCTION("""COMPUTED_VALUE"""),"Орфоэпия и лексика")</f>
        <v>Орфоэпия и лексика</v>
      </c>
      <c r="J1" s="1"/>
      <c r="K1" s="1" t="str">
        <f>IFERROR(__xludf.DUMMYFUNCTION("""COMPUTED_VALUE"""),"Морфемика и слоообразование")</f>
        <v>Морфемика и слоообразование</v>
      </c>
      <c r="L1" s="1"/>
      <c r="M1" s="1" t="str">
        <f>IFERROR(__xludf.DUMMYFUNCTION("""COMPUTED_VALUE"""),"Изложение")</f>
        <v>Изложение</v>
      </c>
      <c r="N1" s="1"/>
      <c r="O1" s="1" t="str">
        <f>IFERROR(__xludf.DUMMYFUNCTION("""COMPUTED_VALUE"""),"Итоговое собеседование")</f>
        <v>Итоговое собеседование</v>
      </c>
      <c r="P1" s="1"/>
      <c r="Q1" s="1" t="str">
        <f>IFERROR(__xludf.DUMMYFUNCTION("""COMPUTED_VALUE"""),"Работа с текстом")</f>
        <v>Работа с текстом</v>
      </c>
      <c r="R1" s="1"/>
      <c r="S1" s="1" t="str">
        <f>IFERROR(__xludf.DUMMYFUNCTION("""COMPUTED_VALUE"""),"Сочинение")</f>
        <v>Сочинение</v>
      </c>
      <c r="T1" s="1"/>
      <c r="U1" s="1" t="str">
        <f>IFERROR(__xludf.DUMMYFUNCTION("""COMPUTED_VALUE"""),"Сочинение ОГЭ")</f>
        <v>Сочинение ОГЭ</v>
      </c>
      <c r="V1" s="1"/>
      <c r="W1" s="1"/>
      <c r="X1" s="1"/>
      <c r="Y1" s="1"/>
      <c r="Z1" s="1"/>
    </row>
    <row r="2">
      <c r="A2" s="1" t="str">
        <f>IFERROR(__xludf.DUMMYFUNCTION("""COMPUTED_VALUE"""),"Правописание проверяемых гласных в корне слова")</f>
        <v>Правописание проверяемых гласных в корне слова</v>
      </c>
      <c r="B2" s="1">
        <f>IFERROR(__xludf.DUMMYFUNCTION("""COMPUTED_VALUE"""),2.0)</f>
        <v>2</v>
      </c>
      <c r="C2" s="1" t="str">
        <f>IFERROR(__xludf.DUMMYFUNCTION("""COMPUTED_VALUE"""),"Запятая при передаче на письме чужой речи (прямая речь)")</f>
        <v>Запятая при передаче на письме чужой речи (прямая речь)</v>
      </c>
      <c r="D2" s="1">
        <f>IFERROR(__xludf.DUMMYFUNCTION("""COMPUTED_VALUE"""),101.0)</f>
        <v>101</v>
      </c>
      <c r="E2" s="1" t="str">
        <f>IFERROR(__xludf.DUMMYFUNCTION("""COMPUTED_VALUE"""),"Виды связи словосочетания. Согласование")</f>
        <v>Виды связи словосочетания. Согласование</v>
      </c>
      <c r="F2" s="1">
        <f>IFERROR(__xludf.DUMMYFUNCTION("""COMPUTED_VALUE"""),202.0)</f>
        <v>202</v>
      </c>
      <c r="G2" s="1" t="str">
        <f>IFERROR(__xludf.DUMMYFUNCTION("""COMPUTED_VALUE"""),"Ошибки в построении предложений с однородными членами")</f>
        <v>Ошибки в построении предложений с однородными членами</v>
      </c>
      <c r="H2" s="1">
        <f>IFERROR(__xludf.DUMMYFUNCTION("""COMPUTED_VALUE"""),330.0)</f>
        <v>330</v>
      </c>
      <c r="I2" s="1" t="str">
        <f>IFERROR(__xludf.DUMMYFUNCTION("""COMPUTED_VALUE"""),"Общеупотребительная лексика и лексика ограниченного употребления")</f>
        <v>Общеупотребительная лексика и лексика ограниченного употребления</v>
      </c>
      <c r="J2" s="1">
        <f>IFERROR(__xludf.DUMMYFUNCTION("""COMPUTED_VALUE"""),404.0)</f>
        <v>404</v>
      </c>
      <c r="K2" s="1" t="str">
        <f>IFERROR(__xludf.DUMMYFUNCTION("""COMPUTED_VALUE"""),"Ошибочное словообразование")</f>
        <v>Ошибочное словообразование</v>
      </c>
      <c r="L2" s="1">
        <f>IFERROR(__xludf.DUMMYFUNCTION("""COMPUTED_VALUE"""),501.0)</f>
        <v>501</v>
      </c>
      <c r="M2" s="1" t="str">
        <f>IFERROR(__xludf.DUMMYFUNCTION("""COMPUTED_VALUE"""),"Текст. Смысловая и композиционная целостность текста")</f>
        <v>Текст. Смысловая и композиционная целостность текста</v>
      </c>
      <c r="N2" s="1">
        <f>IFERROR(__xludf.DUMMYFUNCTION("""COMPUTED_VALUE"""),601.0)</f>
        <v>601</v>
      </c>
      <c r="O2" s="1" t="str">
        <f>IFERROR(__xludf.DUMMYFUNCTION("""COMPUTED_VALUE"""),"Владение всеми видами речевой деятельности (аудирование и чтение)")</f>
        <v>Владение всеми видами речевой деятельности (аудирование и чтение)</v>
      </c>
      <c r="P2" s="1">
        <f>IFERROR(__xludf.DUMMYFUNCTION("""COMPUTED_VALUE"""),701.0)</f>
        <v>701</v>
      </c>
      <c r="Q2" s="1" t="str">
        <f>IFERROR(__xludf.DUMMYFUNCTION("""COMPUTED_VALUE"""),"Антитеза")</f>
        <v>Антитеза</v>
      </c>
      <c r="R2" s="1">
        <f>IFERROR(__xludf.DUMMYFUNCTION("""COMPUTED_VALUE"""),801.0)</f>
        <v>801</v>
      </c>
      <c r="S2" s="1" t="str">
        <f>IFERROR(__xludf.DUMMYFUNCTION("""COMPUTED_VALUE"""),"Определение проблемы")</f>
        <v>Определение проблемы</v>
      </c>
      <c r="T2" s="1">
        <f>IFERROR(__xludf.DUMMYFUNCTION("""COMPUTED_VALUE"""),901.0)</f>
        <v>901</v>
      </c>
      <c r="U2" s="1" t="str">
        <f>IFERROR(__xludf.DUMMYFUNCTION("""COMPUTED_VALUE"""),"Структура сочинения ОГЭ")</f>
        <v>Структура сочинения ОГЭ</v>
      </c>
      <c r="V2" s="1">
        <f>IFERROR(__xludf.DUMMYFUNCTION("""COMPUTED_VALUE"""),1001.0)</f>
        <v>1001</v>
      </c>
      <c r="W2" s="1"/>
      <c r="X2" s="1"/>
      <c r="Y2" s="1"/>
      <c r="Z2" s="1"/>
    </row>
    <row r="3">
      <c r="A3" s="1" t="str">
        <f>IFERROR(__xludf.DUMMYFUNCTION("""COMPUTED_VALUE"""),"Правописание непроверяемых гласных в корне слова")</f>
        <v>Правописание непроверяемых гласных в корне слова</v>
      </c>
      <c r="B3" s="1">
        <f>IFERROR(__xludf.DUMMYFUNCTION("""COMPUTED_VALUE"""),4.0)</f>
        <v>4</v>
      </c>
      <c r="C3" s="1" t="str">
        <f>IFERROR(__xludf.DUMMYFUNCTION("""COMPUTED_VALUE"""),"Пунктуация в простом предложении с однородными членами, связанными бессоюзной связью")</f>
        <v>Пунктуация в простом предложении с однородными членами, связанными бессоюзной связью</v>
      </c>
      <c r="D3" s="1">
        <f>IFERROR(__xludf.DUMMYFUNCTION("""COMPUTED_VALUE"""),102.0)</f>
        <v>102</v>
      </c>
      <c r="E3" s="1" t="str">
        <f>IFERROR(__xludf.DUMMYFUNCTION("""COMPUTED_VALUE"""),"Виды связи словосочетания. Управление")</f>
        <v>Виды связи словосочетания. Управление</v>
      </c>
      <c r="F3" s="1">
        <f>IFERROR(__xludf.DUMMYFUNCTION("""COMPUTED_VALUE"""),203.0)</f>
        <v>203</v>
      </c>
      <c r="G3" s="1" t="str">
        <f>IFERROR(__xludf.DUMMYFUNCTION("""COMPUTED_VALUE"""),"Нарушение в построении предложения с причастным оборотом")</f>
        <v>Нарушение в построении предложения с причастным оборотом</v>
      </c>
      <c r="H3" s="1">
        <f>IFERROR(__xludf.DUMMYFUNCTION("""COMPUTED_VALUE"""),331.0)</f>
        <v>331</v>
      </c>
      <c r="I3" s="1" t="str">
        <f>IFERROR(__xludf.DUMMYFUNCTION("""COMPUTED_VALUE"""),"Исконно русская лексика")</f>
        <v>Исконно русская лексика</v>
      </c>
      <c r="J3" s="1">
        <f>IFERROR(__xludf.DUMMYFUNCTION("""COMPUTED_VALUE"""),405.0)</f>
        <v>405</v>
      </c>
      <c r="K3" s="1" t="str">
        <f>IFERROR(__xludf.DUMMYFUNCTION("""COMPUTED_VALUE"""),"Морфема")</f>
        <v>Морфема</v>
      </c>
      <c r="L3" s="1">
        <f>IFERROR(__xludf.DUMMYFUNCTION("""COMPUTED_VALUE"""),502.0)</f>
        <v>502</v>
      </c>
      <c r="M3" s="1" t="str">
        <f>IFERROR(__xludf.DUMMYFUNCTION("""COMPUTED_VALUE"""),"Тема")</f>
        <v>Тема</v>
      </c>
      <c r="N3" s="1">
        <f>IFERROR(__xludf.DUMMYFUNCTION("""COMPUTED_VALUE"""),602.0)</f>
        <v>602</v>
      </c>
      <c r="O3" s="1" t="str">
        <f>IFERROR(__xludf.DUMMYFUNCTION("""COMPUTED_VALUE"""),"Владение разными видами чтения (поисковым, просмотровым, ознакомительным, изучающим) текстов разных стилей и жанров")</f>
        <v>Владение разными видами чтения (поисковым, просмотровым, ознакомительным, изучающим) текстов разных стилей и жанров</v>
      </c>
      <c r="P3" s="1">
        <f>IFERROR(__xludf.DUMMYFUNCTION("""COMPUTED_VALUE"""),703.0)</f>
        <v>703</v>
      </c>
      <c r="Q3" s="1" t="str">
        <f>IFERROR(__xludf.DUMMYFUNCTION("""COMPUTED_VALUE"""),"Анафора")</f>
        <v>Анафора</v>
      </c>
      <c r="R3" s="1">
        <f>IFERROR(__xludf.DUMMYFUNCTION("""COMPUTED_VALUE"""),803.0)</f>
        <v>803</v>
      </c>
      <c r="S3" s="1" t="str">
        <f>IFERROR(__xludf.DUMMYFUNCTION("""COMPUTED_VALUE"""),"Формулирование примеров-иллюстраций из прочитанного текста")</f>
        <v>Формулирование примеров-иллюстраций из прочитанного текста</v>
      </c>
      <c r="T3" s="1">
        <f>IFERROR(__xludf.DUMMYFUNCTION("""COMPUTED_VALUE"""),902.0)</f>
        <v>902</v>
      </c>
      <c r="U3" s="1" t="str">
        <f>IFERROR(__xludf.DUMMYFUNCTION("""COMPUTED_VALUE"""),"Раскрытие содержания высказывания лингвиста")</f>
        <v>Раскрытие содержания высказывания лингвиста</v>
      </c>
      <c r="V3" s="1">
        <f>IFERROR(__xludf.DUMMYFUNCTION("""COMPUTED_VALUE"""),1002.0)</f>
        <v>1002</v>
      </c>
      <c r="W3" s="1"/>
      <c r="X3" s="1"/>
      <c r="Y3" s="1"/>
      <c r="Z3" s="1"/>
    </row>
    <row r="4">
      <c r="A4" s="1" t="str">
        <f>IFERROR(__xludf.DUMMYFUNCTION("""COMPUTED_VALUE"""),"Правописание безударных чередующихся гласных в корне слова, зависящих от суффикса -а-")</f>
        <v>Правописание безударных чередующихся гласных в корне слова, зависящих от суффикса -а-</v>
      </c>
      <c r="B4" s="1">
        <f>IFERROR(__xludf.DUMMYFUNCTION("""COMPUTED_VALUE"""),5.0)</f>
        <v>5</v>
      </c>
      <c r="C4" s="1" t="str">
        <f>IFERROR(__xludf.DUMMYFUNCTION("""COMPUTED_VALUE"""),"Пунктуация в простом предложении с однородными членами, связанными повторяющимися союзами, которые обозначают устойчивое выражение")</f>
        <v>Пунктуация в простом предложении с однородными членами, связанными повторяющимися союзами, которые обозначают устойчивое выражение</v>
      </c>
      <c r="D4" s="1">
        <f>IFERROR(__xludf.DUMMYFUNCTION("""COMPUTED_VALUE"""),103.0)</f>
        <v>103</v>
      </c>
      <c r="E4" s="1" t="str">
        <f>IFERROR(__xludf.DUMMYFUNCTION("""COMPUTED_VALUE"""),"Виды связи словосочетания. Примыкание")</f>
        <v>Виды связи словосочетания. Примыкание</v>
      </c>
      <c r="F4" s="1">
        <f>IFERROR(__xludf.DUMMYFUNCTION("""COMPUTED_VALUE"""),204.0)</f>
        <v>204</v>
      </c>
      <c r="G4" s="1" t="str">
        <f>IFERROR(__xludf.DUMMYFUNCTION("""COMPUTED_VALUE"""),"Нарушение в построении предложения с деепричастным оборотом")</f>
        <v>Нарушение в построении предложения с деепричастным оборотом</v>
      </c>
      <c r="H4" s="1">
        <f>IFERROR(__xludf.DUMMYFUNCTION("""COMPUTED_VALUE"""),332.0)</f>
        <v>332</v>
      </c>
      <c r="I4" s="1" t="str">
        <f>IFERROR(__xludf.DUMMYFUNCTION("""COMPUTED_VALUE"""),"Заимствованная лексика")</f>
        <v>Заимствованная лексика</v>
      </c>
      <c r="J4" s="1">
        <f>IFERROR(__xludf.DUMMYFUNCTION("""COMPUTED_VALUE"""),406.0)</f>
        <v>406</v>
      </c>
      <c r="K4" s="1" t="str">
        <f>IFERROR(__xludf.DUMMYFUNCTION("""COMPUTED_VALUE"""),"Чередования согласных")</f>
        <v>Чередования согласных</v>
      </c>
      <c r="L4" s="1">
        <f>IFERROR(__xludf.DUMMYFUNCTION("""COMPUTED_VALUE"""),504.0)</f>
        <v>504</v>
      </c>
      <c r="M4" s="1" t="str">
        <f>IFERROR(__xludf.DUMMYFUNCTION("""COMPUTED_VALUE"""),"Микротема")</f>
        <v>Микротема</v>
      </c>
      <c r="N4" s="1">
        <f>IFERROR(__xludf.DUMMYFUNCTION("""COMPUTED_VALUE"""),603.0)</f>
        <v>603</v>
      </c>
      <c r="O4" s="1" t="str">
        <f>IFERROR(__xludf.DUMMYFUNCTION("""COMPUTED_VALUE"""),"Пересказ текста с включением цитаты")</f>
        <v>Пересказ текста с включением цитаты</v>
      </c>
      <c r="P4" s="1">
        <f>IFERROR(__xludf.DUMMYFUNCTION("""COMPUTED_VALUE"""),707.0)</f>
        <v>707</v>
      </c>
      <c r="Q4" s="1" t="str">
        <f>IFERROR(__xludf.DUMMYFUNCTION("""COMPUTED_VALUE"""),"Антонимы (Контекстные антонимы)")</f>
        <v>Антонимы (Контекстные антонимы)</v>
      </c>
      <c r="R4" s="1">
        <f>IFERROR(__xludf.DUMMYFUNCTION("""COMPUTED_VALUE"""),808.0)</f>
        <v>808</v>
      </c>
      <c r="S4" s="1" t="str">
        <f>IFERROR(__xludf.DUMMYFUNCTION("""COMPUTED_VALUE"""),"Пояснение примеров-иллюстраций")</f>
        <v>Пояснение примеров-иллюстраций</v>
      </c>
      <c r="T4" s="1">
        <f>IFERROR(__xludf.DUMMYFUNCTION("""COMPUTED_VALUE"""),903.0)</f>
        <v>903</v>
      </c>
      <c r="U4" s="1" t="str">
        <f>IFERROR(__xludf.DUMMYFUNCTION("""COMPUTED_VALUE"""),"Раскрытие содержания фрагмента текста")</f>
        <v>Раскрытие содержания фрагмента текста</v>
      </c>
      <c r="V4" s="1">
        <f>IFERROR(__xludf.DUMMYFUNCTION("""COMPUTED_VALUE"""),1003.0)</f>
        <v>1003</v>
      </c>
      <c r="W4" s="1"/>
      <c r="X4" s="1"/>
      <c r="Y4" s="1"/>
      <c r="Z4" s="1"/>
    </row>
    <row r="5">
      <c r="A5" s="1" t="str">
        <f>IFERROR(__xludf.DUMMYFUNCTION("""COMPUTED_VALUE"""),"Правописание неизменяемых приставок")</f>
        <v>Правописание неизменяемых приставок</v>
      </c>
      <c r="B5" s="1">
        <f>IFERROR(__xludf.DUMMYFUNCTION("""COMPUTED_VALUE"""),9.0)</f>
        <v>9</v>
      </c>
      <c r="C5" s="1" t="str">
        <f>IFERROR(__xludf.DUMMYFUNCTION("""COMPUTED_VALUE"""),"Пунктуация в простом предложении с однородными членами, связанными противительным союзом")</f>
        <v>Пунктуация в простом предложении с однородными членами, связанными противительным союзом</v>
      </c>
      <c r="D5" s="1">
        <f>IFERROR(__xludf.DUMMYFUNCTION("""COMPUTED_VALUE"""),104.0)</f>
        <v>104</v>
      </c>
      <c r="E5" s="1" t="str">
        <f>IFERROR(__xludf.DUMMYFUNCTION("""COMPUTED_VALUE"""),"Синонимичные словосочетания")</f>
        <v>Синонимичные словосочетания</v>
      </c>
      <c r="F5" s="1">
        <f>IFERROR(__xludf.DUMMYFUNCTION("""COMPUTED_VALUE"""),205.0)</f>
        <v>205</v>
      </c>
      <c r="G5" s="1" t="str">
        <f>IFERROR(__xludf.DUMMYFUNCTION("""COMPUTED_VALUE"""),"Нарушение в построении предложения с несогласованным приложением")</f>
        <v>Нарушение в построении предложения с несогласованным приложением</v>
      </c>
      <c r="H5" s="1">
        <f>IFERROR(__xludf.DUMMYFUNCTION("""COMPUTED_VALUE"""),333.0)</f>
        <v>333</v>
      </c>
      <c r="I5" s="1" t="str">
        <f>IFERROR(__xludf.DUMMYFUNCTION("""COMPUTED_VALUE"""),"Старославянизмы")</f>
        <v>Старославянизмы</v>
      </c>
      <c r="J5" s="1">
        <f>IFERROR(__xludf.DUMMYFUNCTION("""COMPUTED_VALUE"""),407.0)</f>
        <v>407</v>
      </c>
      <c r="K5" s="1" t="str">
        <f>IFERROR(__xludf.DUMMYFUNCTION("""COMPUTED_VALUE"""),"Корень")</f>
        <v>Корень</v>
      </c>
      <c r="L5" s="1">
        <f>IFERROR(__xludf.DUMMYFUNCTION("""COMPUTED_VALUE"""),505.0)</f>
        <v>505</v>
      </c>
      <c r="M5" s="1" t="str">
        <f>IFERROR(__xludf.DUMMYFUNCTION("""COMPUTED_VALUE"""),"Приёмы сжатия. Исключение. Замена. Обобщение")</f>
        <v>Приёмы сжатия. Исключение. Замена. Обобщение</v>
      </c>
      <c r="N5" s="1">
        <f>IFERROR(__xludf.DUMMYFUNCTION("""COMPUTED_VALUE"""),604.0)</f>
        <v>604</v>
      </c>
      <c r="O5" s="1" t="str">
        <f>IFERROR(__xludf.DUMMYFUNCTION("""COMPUTED_VALUE"""),"Использование синонимические ресурсы языка для более точного выражения мысли и усиления выразительности речи")</f>
        <v>Использование синонимические ресурсы языка для более точного выражения мысли и усиления выразительности речи</v>
      </c>
      <c r="P5" s="1">
        <f>IFERROR(__xludf.DUMMYFUNCTION("""COMPUTED_VALUE"""),719.0)</f>
        <v>719</v>
      </c>
      <c r="Q5" s="1" t="str">
        <f>IFERROR(__xludf.DUMMYFUNCTION("""COMPUTED_VALUE"""),"Метафора")</f>
        <v>Метафора</v>
      </c>
      <c r="R5" s="1">
        <f>IFERROR(__xludf.DUMMYFUNCTION("""COMPUTED_VALUE"""),809.0)</f>
        <v>809</v>
      </c>
      <c r="S5" s="1" t="str">
        <f>IFERROR(__xludf.DUMMYFUNCTION("""COMPUTED_VALUE"""),"Смысловая связь между примерами-иллюстрациями и её анализ")</f>
        <v>Смысловая связь между примерами-иллюстрациями и её анализ</v>
      </c>
      <c r="T5" s="1">
        <f>IFERROR(__xludf.DUMMYFUNCTION("""COMPUTED_VALUE"""),904.0)</f>
        <v>904</v>
      </c>
      <c r="U5" s="1" t="str">
        <f>IFERROR(__xludf.DUMMYFUNCTION("""COMPUTED_VALUE"""),"Формулирование комментария")</f>
        <v>Формулирование комментария</v>
      </c>
      <c r="V5" s="1">
        <f>IFERROR(__xludf.DUMMYFUNCTION("""COMPUTED_VALUE"""),1004.0)</f>
        <v>1004</v>
      </c>
      <c r="W5" s="1"/>
      <c r="X5" s="1"/>
      <c r="Y5" s="1"/>
      <c r="Z5" s="1"/>
    </row>
    <row r="6">
      <c r="A6" s="1" t="str">
        <f>IFERROR(__xludf.DUMMYFUNCTION("""COMPUTED_VALUE"""),"Правописание приставок на -З и -С")</f>
        <v>Правописание приставок на -З и -С</v>
      </c>
      <c r="B6" s="1">
        <f>IFERROR(__xludf.DUMMYFUNCTION("""COMPUTED_VALUE"""),10.0)</f>
        <v>10</v>
      </c>
      <c r="C6" s="1" t="str">
        <f>IFERROR(__xludf.DUMMYFUNCTION("""COMPUTED_VALUE"""),"Пунктуация в простом предложении с однородными членами, связанными повторяющимися союзами")</f>
        <v>Пунктуация в простом предложении с однородными членами, связанными повторяющимися союзами</v>
      </c>
      <c r="D6" s="1">
        <f>IFERROR(__xludf.DUMMYFUNCTION("""COMPUTED_VALUE"""),105.0)</f>
        <v>105</v>
      </c>
      <c r="E6" s="1" t="str">
        <f>IFERROR(__xludf.DUMMYFUNCTION("""COMPUTED_VALUE"""),"Способы выражения подлежащего")</f>
        <v>Способы выражения подлежащего</v>
      </c>
      <c r="F6" s="1">
        <f>IFERROR(__xludf.DUMMYFUNCTION("""COMPUTED_VALUE"""),206.0)</f>
        <v>206</v>
      </c>
      <c r="G6" s="1" t="str">
        <f>IFERROR(__xludf.DUMMYFUNCTION("""COMPUTED_VALUE"""),"Неправильное построение предложения с косвенной речью")</f>
        <v>Неправильное построение предложения с косвенной речью</v>
      </c>
      <c r="H6" s="1">
        <f>IFERROR(__xludf.DUMMYFUNCTION("""COMPUTED_VALUE"""),334.0)</f>
        <v>334</v>
      </c>
      <c r="I6" s="1" t="str">
        <f>IFERROR(__xludf.DUMMYFUNCTION("""COMPUTED_VALUE"""),"Лексическое видоизменение фразеологизма")</f>
        <v>Лексическое видоизменение фразеологизма</v>
      </c>
      <c r="J6" s="1">
        <f>IFERROR(__xludf.DUMMYFUNCTION("""COMPUTED_VALUE"""),408.0)</f>
        <v>408</v>
      </c>
      <c r="K6" s="1" t="str">
        <f>IFERROR(__xludf.DUMMYFUNCTION("""COMPUTED_VALUE"""),"Словообразующие и формообразующие морфемы")</f>
        <v>Словообразующие и формообразующие морфемы</v>
      </c>
      <c r="L6" s="1">
        <f>IFERROR(__xludf.DUMMYFUNCTION("""COMPUTED_VALUE"""),506.0)</f>
        <v>506</v>
      </c>
      <c r="M6" s="1" t="str">
        <f>IFERROR(__xludf.DUMMYFUNCTION("""COMPUTED_VALUE"""),"Основная мысль")</f>
        <v>Основная мысль</v>
      </c>
      <c r="N6" s="1">
        <f>IFERROR(__xludf.DUMMYFUNCTION("""COMPUTED_VALUE"""),605.0)</f>
        <v>605</v>
      </c>
      <c r="O6" s="1" t="str">
        <f>IFERROR(__xludf.DUMMYFUNCTION("""COMPUTED_VALUE"""),"Иметь представление об историческом развитии русского языка и истории русского языкознания")</f>
        <v>Иметь представление об историческом развитии русского языка и истории русского языкознания</v>
      </c>
      <c r="P6" s="1">
        <f>IFERROR(__xludf.DUMMYFUNCTION("""COMPUTED_VALUE"""),720.0)</f>
        <v>720</v>
      </c>
      <c r="Q6" s="1" t="str">
        <f>IFERROR(__xludf.DUMMYFUNCTION("""COMPUTED_VALUE"""),"Эпитет")</f>
        <v>Эпитет</v>
      </c>
      <c r="R6" s="1">
        <f>IFERROR(__xludf.DUMMYFUNCTION("""COMPUTED_VALUE"""),810.0)</f>
        <v>810</v>
      </c>
      <c r="S6" s="1" t="str">
        <f>IFERROR(__xludf.DUMMYFUNCTION("""COMPUTED_VALUE"""),"Определение авторской позиции")</f>
        <v>Определение авторской позиции</v>
      </c>
      <c r="T6" s="1">
        <f>IFERROR(__xludf.DUMMYFUNCTION("""COMPUTED_VALUE"""),905.0)</f>
        <v>905</v>
      </c>
      <c r="U6" s="1" t="str">
        <f>IFERROR(__xludf.DUMMYFUNCTION("""COMPUTED_VALUE"""),"Раскрытие содержания понятия")</f>
        <v>Раскрытие содержания понятия</v>
      </c>
      <c r="V6" s="1">
        <f>IFERROR(__xludf.DUMMYFUNCTION("""COMPUTED_VALUE"""),1005.0)</f>
        <v>1005</v>
      </c>
      <c r="W6" s="1"/>
      <c r="X6" s="1"/>
      <c r="Y6" s="1"/>
      <c r="Z6" s="1"/>
    </row>
    <row r="7">
      <c r="A7" s="1" t="str">
        <f>IFERROR(__xludf.DUMMYFUNCTION("""COMPUTED_VALUE"""),"Гласные в приставках, зависящие от ударения")</f>
        <v>Гласные в приставках, зависящие от ударения</v>
      </c>
      <c r="B7" s="1">
        <f>IFERROR(__xludf.DUMMYFUNCTION("""COMPUTED_VALUE"""),12.0)</f>
        <v>12</v>
      </c>
      <c r="C7" s="1" t="str">
        <f>IFERROR(__xludf.DUMMYFUNCTION("""COMPUTED_VALUE"""),"Пунктуация в простом предложении с однородными членами, связанными двойным союзом")</f>
        <v>Пунктуация в простом предложении с однородными членами, связанными двойным союзом</v>
      </c>
      <c r="D7" s="1">
        <f>IFERROR(__xludf.DUMMYFUNCTION("""COMPUTED_VALUE"""),106.0)</f>
        <v>106</v>
      </c>
      <c r="E7" s="1" t="str">
        <f>IFERROR(__xludf.DUMMYFUNCTION("""COMPUTED_VALUE"""),"Способы выражения сказуемого")</f>
        <v>Способы выражения сказуемого</v>
      </c>
      <c r="F7" s="1">
        <f>IFERROR(__xludf.DUMMYFUNCTION("""COMPUTED_VALUE"""),207.0)</f>
        <v>207</v>
      </c>
      <c r="G7" s="1" t="str">
        <f>IFERROR(__xludf.DUMMYFUNCTION("""COMPUTED_VALUE"""),"Ошибки в построении сложного предложения")</f>
        <v>Ошибки в построении сложного предложения</v>
      </c>
      <c r="H7" s="1">
        <f>IFERROR(__xludf.DUMMYFUNCTION("""COMPUTED_VALUE"""),335.0)</f>
        <v>335</v>
      </c>
      <c r="I7" s="1" t="str">
        <f>IFERROR(__xludf.DUMMYFUNCTION("""COMPUTED_VALUE"""),"Паронимы")</f>
        <v>Паронимы</v>
      </c>
      <c r="J7" s="1">
        <f>IFERROR(__xludf.DUMMYFUNCTION("""COMPUTED_VALUE"""),409.0)</f>
        <v>409</v>
      </c>
      <c r="K7" s="1" t="str">
        <f>IFERROR(__xludf.DUMMYFUNCTION("""COMPUTED_VALUE"""),"Приставка")</f>
        <v>Приставка</v>
      </c>
      <c r="L7" s="1">
        <f>IFERROR(__xludf.DUMMYFUNCTION("""COMPUTED_VALUE"""),507.0)</f>
        <v>507</v>
      </c>
      <c r="M7" s="1" t="str">
        <f>IFERROR(__xludf.DUMMYFUNCTION("""COMPUTED_VALUE"""),"Разговорный стиль речи")</f>
        <v>Разговорный стиль речи</v>
      </c>
      <c r="N7" s="1">
        <f>IFERROR(__xludf.DUMMYFUNCTION("""COMPUTED_VALUE"""),618.0)</f>
        <v>618</v>
      </c>
      <c r="O7" s="1" t="str">
        <f>IFERROR(__xludf.DUMMYFUNCTION("""COMPUTED_VALUE"""),"Проводить самостоятельный поиск текстовой и нетекстовой информации")</f>
        <v>Проводить самостоятельный поиск текстовой и нетекстовой информации</v>
      </c>
      <c r="P7" s="1">
        <f>IFERROR(__xludf.DUMMYFUNCTION("""COMPUTED_VALUE"""),723.0)</f>
        <v>723</v>
      </c>
      <c r="Q7" s="1" t="str">
        <f>IFERROR(__xludf.DUMMYFUNCTION("""COMPUTED_VALUE"""),"Сравнение")</f>
        <v>Сравнение</v>
      </c>
      <c r="R7" s="1">
        <f>IFERROR(__xludf.DUMMYFUNCTION("""COMPUTED_VALUE"""),811.0)</f>
        <v>811</v>
      </c>
      <c r="S7" s="1" t="str">
        <f>IFERROR(__xludf.DUMMYFUNCTION("""COMPUTED_VALUE"""),"Формулирование и обоснование своей позиции")</f>
        <v>Формулирование и обоснование своей позиции</v>
      </c>
      <c r="T7" s="1">
        <f>IFERROR(__xludf.DUMMYFUNCTION("""COMPUTED_VALUE"""),906.0)</f>
        <v>906</v>
      </c>
      <c r="U7" s="1"/>
      <c r="V7" s="1"/>
      <c r="W7" s="1"/>
      <c r="X7" s="1"/>
      <c r="Y7" s="1"/>
      <c r="Z7" s="1"/>
    </row>
    <row r="8">
      <c r="A8" s="1" t="str">
        <f>IFERROR(__xludf.DUMMYFUNCTION("""COMPUTED_VALUE"""),"Правописание приставок ПРА- и ПРО-")</f>
        <v>Правописание приставок ПРА- и ПРО-</v>
      </c>
      <c r="B8" s="1">
        <f>IFERROR(__xludf.DUMMYFUNCTION("""COMPUTED_VALUE"""),13.0)</f>
        <v>13</v>
      </c>
      <c r="C8" s="1" t="str">
        <f>IFERROR(__xludf.DUMMYFUNCTION("""COMPUTED_VALUE"""),"Пунктуация в простом предложении с однородными членами, соединёнными попарно")</f>
        <v>Пунктуация в простом предложении с однородными членами, соединёнными попарно</v>
      </c>
      <c r="D8" s="1">
        <f>IFERROR(__xludf.DUMMYFUNCTION("""COMPUTED_VALUE"""),107.0)</f>
        <v>107</v>
      </c>
      <c r="E8" s="1" t="str">
        <f>IFERROR(__xludf.DUMMYFUNCTION("""COMPUTED_VALUE"""),"Простое глагольное сказуемое")</f>
        <v>Простое глагольное сказуемое</v>
      </c>
      <c r="F8" s="1">
        <f>IFERROR(__xludf.DUMMYFUNCTION("""COMPUTED_VALUE"""),208.0)</f>
        <v>208</v>
      </c>
      <c r="G8" s="1" t="str">
        <f>IFERROR(__xludf.DUMMYFUNCTION("""COMPUTED_VALUE"""),"Нормативное образование и употребление местоимений")</f>
        <v>Нормативное образование и употребление местоимений</v>
      </c>
      <c r="H8" s="1">
        <f>IFERROR(__xludf.DUMMYFUNCTION("""COMPUTED_VALUE"""),307.0)</f>
        <v>307</v>
      </c>
      <c r="I8" s="1" t="str">
        <f>IFERROR(__xludf.DUMMYFUNCTION("""COMPUTED_VALUE"""),"Плеоназм")</f>
        <v>Плеоназм</v>
      </c>
      <c r="J8" s="1">
        <f>IFERROR(__xludf.DUMMYFUNCTION("""COMPUTED_VALUE"""),416.0)</f>
        <v>416</v>
      </c>
      <c r="K8" s="1" t="str">
        <f>IFERROR(__xludf.DUMMYFUNCTION("""COMPUTED_VALUE"""),"Суффикс")</f>
        <v>Суффикс</v>
      </c>
      <c r="L8" s="1">
        <f>IFERROR(__xludf.DUMMYFUNCTION("""COMPUTED_VALUE"""),508.0)</f>
        <v>508</v>
      </c>
      <c r="M8" s="1" t="str">
        <f>IFERROR(__xludf.DUMMYFUNCTION("""COMPUTED_VALUE"""),"Повествование")</f>
        <v>Повествование</v>
      </c>
      <c r="N8" s="1">
        <f>IFERROR(__xludf.DUMMYFUNCTION("""COMPUTED_VALUE"""),619.0)</f>
        <v>619</v>
      </c>
      <c r="O8" s="1" t="str">
        <f>IFERROR(__xludf.DUMMYFUNCTION("""COMPUTED_VALUE"""),"Отбирать и анализировать полученную информацию")</f>
        <v>Отбирать и анализировать полученную информацию</v>
      </c>
      <c r="P8" s="1">
        <f>IFERROR(__xludf.DUMMYFUNCTION("""COMPUTED_VALUE"""),724.0)</f>
        <v>724</v>
      </c>
      <c r="Q8" s="1" t="str">
        <f>IFERROR(__xludf.DUMMYFUNCTION("""COMPUTED_VALUE"""),"Метонимия")</f>
        <v>Метонимия</v>
      </c>
      <c r="R8" s="1">
        <f>IFERROR(__xludf.DUMMYFUNCTION("""COMPUTED_VALUE"""),812.0)</f>
        <v>812</v>
      </c>
      <c r="S8" s="1" t="str">
        <f>IFERROR(__xludf.DUMMYFUNCTION("""COMPUTED_VALUE"""),"Знание структуры итогового сочинения")</f>
        <v>Знание структуры итогового сочинения</v>
      </c>
      <c r="T8" s="1">
        <f>IFERROR(__xludf.DUMMYFUNCTION("""COMPUTED_VALUE"""),907.0)</f>
        <v>907</v>
      </c>
      <c r="U8" s="1"/>
      <c r="V8" s="1"/>
      <c r="W8" s="1"/>
      <c r="X8" s="1"/>
      <c r="Y8" s="1"/>
      <c r="Z8" s="1"/>
    </row>
    <row r="9">
      <c r="A9" s="1" t="str">
        <f>IFERROR(__xludf.DUMMYFUNCTION("""COMPUTED_VALUE"""),"Правописание приставок ПРЕ-/ПРИ-")</f>
        <v>Правописание приставок ПРЕ-/ПРИ-</v>
      </c>
      <c r="B9" s="1">
        <f>IFERROR(__xludf.DUMMYFUNCTION("""COMPUTED_VALUE"""),14.0)</f>
        <v>14</v>
      </c>
      <c r="C9" s="1" t="str">
        <f>IFERROR(__xludf.DUMMYFUNCTION("""COMPUTED_VALUE"""),"Тире в предложении с однородными членами и обобщающим словом")</f>
        <v>Тире в предложении с однородными членами и обобщающим словом</v>
      </c>
      <c r="D9" s="1">
        <f>IFERROR(__xludf.DUMMYFUNCTION("""COMPUTED_VALUE"""),109.0)</f>
        <v>109</v>
      </c>
      <c r="E9" s="1" t="str">
        <f>IFERROR(__xludf.DUMMYFUNCTION("""COMPUTED_VALUE"""),"Составное глагольное сказуемое")</f>
        <v>Составное глагольное сказуемое</v>
      </c>
      <c r="F9" s="1">
        <f>IFERROR(__xludf.DUMMYFUNCTION("""COMPUTED_VALUE"""),209.0)</f>
        <v>209</v>
      </c>
      <c r="G9" s="1" t="str">
        <f>IFERROR(__xludf.DUMMYFUNCTION("""COMPUTED_VALUE"""),"Неправильное употребление падежной формы существительного")</f>
        <v>Неправильное употребление падежной формы существительного</v>
      </c>
      <c r="H9" s="1">
        <f>IFERROR(__xludf.DUMMYFUNCTION("""COMPUTED_VALUE"""),309.0)</f>
        <v>309</v>
      </c>
      <c r="I9" s="1" t="str">
        <f>IFERROR(__xludf.DUMMYFUNCTION("""COMPUTED_VALUE"""),"Тавтология")</f>
        <v>Тавтология</v>
      </c>
      <c r="J9" s="1">
        <f>IFERROR(__xludf.DUMMYFUNCTION("""COMPUTED_VALUE"""),417.0)</f>
        <v>417</v>
      </c>
      <c r="K9" s="1" t="str">
        <f>IFERROR(__xludf.DUMMYFUNCTION("""COMPUTED_VALUE"""),"Интерфикс")</f>
        <v>Интерфикс</v>
      </c>
      <c r="L9" s="1">
        <f>IFERROR(__xludf.DUMMYFUNCTION("""COMPUTED_VALUE"""),509.0)</f>
        <v>509</v>
      </c>
      <c r="M9" s="1" t="str">
        <f>IFERROR(__xludf.DUMMYFUNCTION("""COMPUTED_VALUE"""),"Интонация. Темп чтения")</f>
        <v>Интонация. Темп чтения</v>
      </c>
      <c r="N9" s="1">
        <f>IFERROR(__xludf.DUMMYFUNCTION("""COMPUTED_VALUE"""),620.0)</f>
        <v>620</v>
      </c>
      <c r="O9" s="1" t="str">
        <f>IFERROR(__xludf.DUMMYFUNCTION("""COMPUTED_VALUE"""),"Оценивать стилистические ресурсы языка")</f>
        <v>Оценивать стилистические ресурсы языка</v>
      </c>
      <c r="P9" s="1">
        <f>IFERROR(__xludf.DUMMYFUNCTION("""COMPUTED_VALUE"""),725.0)</f>
        <v>725</v>
      </c>
      <c r="Q9" s="1" t="str">
        <f>IFERROR(__xludf.DUMMYFUNCTION("""COMPUTED_VALUE"""),"Гипербола")</f>
        <v>Гипербола</v>
      </c>
      <c r="R9" s="1">
        <f>IFERROR(__xludf.DUMMYFUNCTION("""COMPUTED_VALUE"""),813.0)</f>
        <v>813</v>
      </c>
      <c r="S9" s="1" t="str">
        <f>IFERROR(__xludf.DUMMYFUNCTION("""COMPUTED_VALUE"""),"Умение комментировать авторские высказывания на различные темы")</f>
        <v>Умение комментировать авторские высказывания на различные темы</v>
      </c>
      <c r="T9" s="1">
        <f>IFERROR(__xludf.DUMMYFUNCTION("""COMPUTED_VALUE"""),908.0)</f>
        <v>908</v>
      </c>
      <c r="U9" s="1"/>
      <c r="V9" s="1"/>
      <c r="W9" s="1"/>
      <c r="X9" s="1"/>
      <c r="Y9" s="1"/>
      <c r="Z9" s="1"/>
    </row>
    <row r="10">
      <c r="A10" s="1" t="str">
        <f>IFERROR(__xludf.DUMMYFUNCTION("""COMPUTED_VALUE"""),"Гласные Ы/И после приставок")</f>
        <v>Гласные Ы/И после приставок</v>
      </c>
      <c r="B10" s="1">
        <f>IFERROR(__xludf.DUMMYFUNCTION("""COMPUTED_VALUE"""),17.0)</f>
        <v>17</v>
      </c>
      <c r="C10" s="1" t="str">
        <f>IFERROR(__xludf.DUMMYFUNCTION("""COMPUTED_VALUE"""),"Однородные и неоднородные определения")</f>
        <v>Однородные и неоднородные определения</v>
      </c>
      <c r="D10" s="1">
        <f>IFERROR(__xludf.DUMMYFUNCTION("""COMPUTED_VALUE"""),110.0)</f>
        <v>110</v>
      </c>
      <c r="E10" s="1" t="str">
        <f>IFERROR(__xludf.DUMMYFUNCTION("""COMPUTED_VALUE"""),"Составное именное сказуемое")</f>
        <v>Составное именное сказуемое</v>
      </c>
      <c r="F10" s="1">
        <f>IFERROR(__xludf.DUMMYFUNCTION("""COMPUTED_VALUE"""),210.0)</f>
        <v>210</v>
      </c>
      <c r="G10" s="1" t="str">
        <f>IFERROR(__xludf.DUMMYFUNCTION("""COMPUTED_VALUE"""),"Нарушение связи между подлежащим и сказуемым")</f>
        <v>Нарушение связи между подлежащим и сказуемым</v>
      </c>
      <c r="H10" s="1">
        <f>IFERROR(__xludf.DUMMYFUNCTION("""COMPUTED_VALUE"""),310.0)</f>
        <v>310</v>
      </c>
      <c r="I10" s="1" t="str">
        <f>IFERROR(__xludf.DUMMYFUNCTION("""COMPUTED_VALUE"""),"Этические нормы")</f>
        <v>Этические нормы</v>
      </c>
      <c r="J10" s="1">
        <f>IFERROR(__xludf.DUMMYFUNCTION("""COMPUTED_VALUE"""),420.0)</f>
        <v>420</v>
      </c>
      <c r="K10" s="1" t="str">
        <f>IFERROR(__xludf.DUMMYFUNCTION("""COMPUTED_VALUE"""),"Постфикс")</f>
        <v>Постфикс</v>
      </c>
      <c r="L10" s="1">
        <f>IFERROR(__xludf.DUMMYFUNCTION("""COMPUTED_VALUE"""),510.0)</f>
        <v>510</v>
      </c>
      <c r="M10" s="1" t="str">
        <f>IFERROR(__xludf.DUMMYFUNCTION("""COMPUTED_VALUE"""),"Виды чтения. Использование различных видов чтения в зависимости от коммуникативной задачи и характера текста")</f>
        <v>Виды чтения. Использование различных видов чтения в зависимости от коммуникативной задачи и характера текста</v>
      </c>
      <c r="N10" s="1">
        <f>IFERROR(__xludf.DUMMYFUNCTION("""COMPUTED_VALUE"""),622.0)</f>
        <v>622</v>
      </c>
      <c r="O10" s="1" t="str">
        <f>IFERROR(__xludf.DUMMYFUNCTION("""COMPUTED_VALUE"""),"Соблюдать культуру чтения, говорения, аудирования и письма")</f>
        <v>Соблюдать культуру чтения, говорения, аудирования и письма</v>
      </c>
      <c r="P10" s="1">
        <f>IFERROR(__xludf.DUMMYFUNCTION("""COMPUTED_VALUE"""),728.0)</f>
        <v>728</v>
      </c>
      <c r="Q10" s="1" t="str">
        <f>IFERROR(__xludf.DUMMYFUNCTION("""COMPUTED_VALUE"""),"Литота")</f>
        <v>Литота</v>
      </c>
      <c r="R10" s="1">
        <f>IFERROR(__xludf.DUMMYFUNCTION("""COMPUTED_VALUE"""),814.0)</f>
        <v>814</v>
      </c>
      <c r="S10" s="1" t="str">
        <f>IFERROR(__xludf.DUMMYFUNCTION("""COMPUTED_VALUE"""),"Умение формулировать свою позицию и доказывать её")</f>
        <v>Умение формулировать свою позицию и доказывать её</v>
      </c>
      <c r="T10" s="1">
        <f>IFERROR(__xludf.DUMMYFUNCTION("""COMPUTED_VALUE"""),909.0)</f>
        <v>909</v>
      </c>
      <c r="U10" s="1"/>
      <c r="V10" s="1"/>
      <c r="W10" s="1"/>
      <c r="X10" s="1"/>
      <c r="Y10" s="1"/>
      <c r="Z10" s="1"/>
    </row>
    <row r="11">
      <c r="A11" s="1" t="str">
        <f>IFERROR(__xludf.DUMMYFUNCTION("""COMPUTED_VALUE"""),"Правописание разделительных Ъ/Ь")</f>
        <v>Правописание разделительных Ъ/Ь</v>
      </c>
      <c r="B11" s="1">
        <f>IFERROR(__xludf.DUMMYFUNCTION("""COMPUTED_VALUE"""),19.0)</f>
        <v>19</v>
      </c>
      <c r="C11" s="1" t="str">
        <f>IFERROR(__xludf.DUMMYFUNCTION("""COMPUTED_VALUE"""),"Знаки препинания при обращении")</f>
        <v>Знаки препинания при обращении</v>
      </c>
      <c r="D11" s="1">
        <f>IFERROR(__xludf.DUMMYFUNCTION("""COMPUTED_VALUE"""),111.0)</f>
        <v>111</v>
      </c>
      <c r="E11" s="1" t="str">
        <f>IFERROR(__xludf.DUMMYFUNCTION("""COMPUTED_VALUE"""),"Простое предложение")</f>
        <v>Простое предложение</v>
      </c>
      <c r="F11" s="1">
        <f>IFERROR(__xludf.DUMMYFUNCTION("""COMPUTED_VALUE"""),211.0)</f>
        <v>211</v>
      </c>
      <c r="G11" s="1" t="str">
        <f>IFERROR(__xludf.DUMMYFUNCTION("""COMPUTED_VALUE"""),"Нарушение видовременной соотнесённости глагольных форм")</f>
        <v>Нарушение видовременной соотнесённости глагольных форм</v>
      </c>
      <c r="H11" s="1">
        <f>IFERROR(__xludf.DUMMYFUNCTION("""COMPUTED_VALUE"""),311.0)</f>
        <v>311</v>
      </c>
      <c r="I11" s="1" t="str">
        <f>IFERROR(__xludf.DUMMYFUNCTION("""COMPUTED_VALUE"""),"Орфоэпические нормы")</f>
        <v>Орфоэпические нормы</v>
      </c>
      <c r="J11" s="1">
        <f>IFERROR(__xludf.DUMMYFUNCTION("""COMPUTED_VALUE"""),423.0)</f>
        <v>423</v>
      </c>
      <c r="K11" s="1" t="str">
        <f>IFERROR(__xludf.DUMMYFUNCTION("""COMPUTED_VALUE"""),"Окончание")</f>
        <v>Окончание</v>
      </c>
      <c r="L11" s="1">
        <f>IFERROR(__xludf.DUMMYFUNCTION("""COMPUTED_VALUE"""),511.0)</f>
        <v>511</v>
      </c>
      <c r="M11" s="1"/>
      <c r="N11" s="1"/>
      <c r="O11" s="1" t="str">
        <f>IFERROR(__xludf.DUMMYFUNCTION("""COMPUTED_VALUE"""),"Редактировать устные и письменные тексты различных стилей и жанров")</f>
        <v>Редактировать устные и письменные тексты различных стилей и жанров</v>
      </c>
      <c r="P11" s="1">
        <f>IFERROR(__xludf.DUMMYFUNCTION("""COMPUTED_VALUE"""),739.0)</f>
        <v>739</v>
      </c>
      <c r="Q11" s="1" t="str">
        <f>IFERROR(__xludf.DUMMYFUNCTION("""COMPUTED_VALUE"""),"Ирония")</f>
        <v>Ирония</v>
      </c>
      <c r="R11" s="1">
        <f>IFERROR(__xludf.DUMMYFUNCTION("""COMPUTED_VALUE"""),815.0)</f>
        <v>815</v>
      </c>
      <c r="S11" s="1" t="str">
        <f>IFERROR(__xludf.DUMMYFUNCTION("""COMPUTED_VALUE"""),"Знание структуры сочинения ЕГЭ")</f>
        <v>Знание структуры сочинения ЕГЭ</v>
      </c>
      <c r="T11" s="1">
        <f>IFERROR(__xludf.DUMMYFUNCTION("""COMPUTED_VALUE"""),910.0)</f>
        <v>910</v>
      </c>
      <c r="U11" s="1"/>
      <c r="V11" s="1"/>
      <c r="W11" s="1"/>
      <c r="X11" s="1"/>
      <c r="Y11" s="1"/>
      <c r="Z11" s="1"/>
    </row>
    <row r="12">
      <c r="A12" s="1" t="str">
        <f>IFERROR(__xludf.DUMMYFUNCTION("""COMPUTED_VALUE"""),"Суффиксы существительных -ОНЬК-, -ЕНЬК-")</f>
        <v>Суффиксы существительных -ОНЬК-, -ЕНЬК-</v>
      </c>
      <c r="B12" s="1">
        <f>IFERROR(__xludf.DUMMYFUNCTION("""COMPUTED_VALUE"""),21.0)</f>
        <v>21</v>
      </c>
      <c r="C12" s="1" t="str">
        <f>IFERROR(__xludf.DUMMYFUNCTION("""COMPUTED_VALUE"""),"Пунктуация при вводных словах (конструкциях)")</f>
        <v>Пунктуация при вводных словах (конструкциях)</v>
      </c>
      <c r="D12" s="1">
        <f>IFERROR(__xludf.DUMMYFUNCTION("""COMPUTED_VALUE"""),112.0)</f>
        <v>112</v>
      </c>
      <c r="E12" s="1" t="str">
        <f>IFERROR(__xludf.DUMMYFUNCTION("""COMPUTED_VALUE"""),"Распространённые предложения")</f>
        <v>Распространённые предложения</v>
      </c>
      <c r="F12" s="1">
        <f>IFERROR(__xludf.DUMMYFUNCTION("""COMPUTED_VALUE"""),212.0)</f>
        <v>212</v>
      </c>
      <c r="G12" s="1" t="str">
        <f>IFERROR(__xludf.DUMMYFUNCTION("""COMPUTED_VALUE"""),"Ошибки в употреблении имени числительного")</f>
        <v>Ошибки в употреблении имени числительного</v>
      </c>
      <c r="H12" s="1">
        <f>IFERROR(__xludf.DUMMYFUNCTION("""COMPUTED_VALUE"""),312.0)</f>
        <v>312</v>
      </c>
      <c r="I12" s="1" t="str">
        <f>IFERROR(__xludf.DUMMYFUNCTION("""COMPUTED_VALUE"""),"Лексическая сочетаемость")</f>
        <v>Лексическая сочетаемость</v>
      </c>
      <c r="J12" s="1">
        <f>IFERROR(__xludf.DUMMYFUNCTION("""COMPUTED_VALUE"""),424.0)</f>
        <v>424</v>
      </c>
      <c r="K12" s="1" t="str">
        <f>IFERROR(__xludf.DUMMYFUNCTION("""COMPUTED_VALUE"""),"Основа")</f>
        <v>Основа</v>
      </c>
      <c r="L12" s="1">
        <f>IFERROR(__xludf.DUMMYFUNCTION("""COMPUTED_VALUE"""),512.0)</f>
        <v>512</v>
      </c>
      <c r="M12" s="1"/>
      <c r="N12" s="1"/>
      <c r="O12" s="1" t="str">
        <f>IFERROR(__xludf.DUMMYFUNCTION("""COMPUTED_VALUE"""),"Проведение различных видов анализа слова (фонетического, морфемного, словообразовательного, лексического, морфологического)")</f>
        <v>Проведение различных видов анализа слова (фонетического, морфемного, словообразовательного, лексического, морфологического)</v>
      </c>
      <c r="P12" s="1">
        <f>IFERROR(__xludf.DUMMYFUNCTION("""COMPUTED_VALUE"""),740.0)</f>
        <v>740</v>
      </c>
      <c r="Q12" s="1" t="str">
        <f>IFERROR(__xludf.DUMMYFUNCTION("""COMPUTED_VALUE"""),"Повествование")</f>
        <v>Повествование</v>
      </c>
      <c r="R12" s="1">
        <f>IFERROR(__xludf.DUMMYFUNCTION("""COMPUTED_VALUE"""),816.0)</f>
        <v>816</v>
      </c>
      <c r="S12" s="1"/>
      <c r="T12" s="1"/>
      <c r="U12" s="1"/>
      <c r="V12" s="1"/>
      <c r="W12" s="1"/>
      <c r="X12" s="1"/>
      <c r="Y12" s="1"/>
      <c r="Z12" s="1"/>
    </row>
    <row r="13">
      <c r="A13" s="1" t="str">
        <f>IFERROR(__xludf.DUMMYFUNCTION("""COMPUTED_VALUE"""),"Суффиксы существительных -ОК-")</f>
        <v>Суффиксы существительных -ОК-</v>
      </c>
      <c r="B13" s="1">
        <f>IFERROR(__xludf.DUMMYFUNCTION("""COMPUTED_VALUE"""),25.0)</f>
        <v>25</v>
      </c>
      <c r="C13" s="1" t="str">
        <f>IFERROR(__xludf.DUMMYFUNCTION("""COMPUTED_VALUE"""),"Знаки препинания при обособленных определениях")</f>
        <v>Знаки препинания при обособленных определениях</v>
      </c>
      <c r="D13" s="1">
        <f>IFERROR(__xludf.DUMMYFUNCTION("""COMPUTED_VALUE"""),113.0)</f>
        <v>113</v>
      </c>
      <c r="E13" s="1" t="str">
        <f>IFERROR(__xludf.DUMMYFUNCTION("""COMPUTED_VALUE"""),"Осложнённые предложения")</f>
        <v>Осложнённые предложения</v>
      </c>
      <c r="F13" s="1">
        <f>IFERROR(__xludf.DUMMYFUNCTION("""COMPUTED_VALUE"""),213.0)</f>
        <v>213</v>
      </c>
      <c r="G13" s="1" t="str">
        <f>IFERROR(__xludf.DUMMYFUNCTION("""COMPUTED_VALUE"""),"Нарушение управления")</f>
        <v>Нарушение управления</v>
      </c>
      <c r="H13" s="1">
        <f>IFERROR(__xludf.DUMMYFUNCTION("""COMPUTED_VALUE"""),315.0)</f>
        <v>315</v>
      </c>
      <c r="I13" s="1" t="str">
        <f>IFERROR(__xludf.DUMMYFUNCTION("""COMPUTED_VALUE"""),"Звук и буква")</f>
        <v>Звук и буква</v>
      </c>
      <c r="J13" s="1">
        <f>IFERROR(__xludf.DUMMYFUNCTION("""COMPUTED_VALUE"""),425.0)</f>
        <v>425</v>
      </c>
      <c r="K13" s="1" t="str">
        <f>IFERROR(__xludf.DUMMYFUNCTION("""COMPUTED_VALUE"""),"Сокращение производящей основы")</f>
        <v>Сокращение производящей основы</v>
      </c>
      <c r="L13" s="1">
        <f>IFERROR(__xludf.DUMMYFUNCTION("""COMPUTED_VALUE"""),513.0)</f>
        <v>513</v>
      </c>
      <c r="M13" s="1"/>
      <c r="N13" s="1"/>
      <c r="O13" s="1" t="str">
        <f>IFERROR(__xludf.DUMMYFUNCTION("""COMPUTED_VALUE"""),"Запятая в предложении с однородными членами (синтаксический анализ)")</f>
        <v>Запятая в предложении с однородными членами (синтаксический анализ)</v>
      </c>
      <c r="P13" s="1">
        <f>IFERROR(__xludf.DUMMYFUNCTION("""COMPUTED_VALUE"""),741.0)</f>
        <v>741</v>
      </c>
      <c r="Q13" s="1" t="str">
        <f>IFERROR(__xludf.DUMMYFUNCTION("""COMPUTED_VALUE"""),"Описание")</f>
        <v>Описание</v>
      </c>
      <c r="R13" s="1">
        <f>IFERROR(__xludf.DUMMYFUNCTION("""COMPUTED_VALUE"""),817.0)</f>
        <v>817</v>
      </c>
      <c r="S13" s="1"/>
      <c r="T13" s="1"/>
      <c r="U13" s="1"/>
      <c r="V13" s="1"/>
      <c r="W13" s="1"/>
      <c r="X13" s="1"/>
      <c r="Y13" s="1"/>
      <c r="Z13" s="1"/>
    </row>
    <row r="14">
      <c r="A14" s="1" t="str">
        <f>IFERROR(__xludf.DUMMYFUNCTION("""COMPUTED_VALUE"""),"Суффиксы существительных -ИК-/-ЕК-")</f>
        <v>Суффиксы существительных -ИК-/-ЕК-</v>
      </c>
      <c r="B14" s="1">
        <f>IFERROR(__xludf.DUMMYFUNCTION("""COMPUTED_VALUE"""),26.0)</f>
        <v>26</v>
      </c>
      <c r="C14" s="1" t="str">
        <f>IFERROR(__xludf.DUMMYFUNCTION("""COMPUTED_VALUE"""),"Знаки препинания при обособленных обстоятельствах")</f>
        <v>Знаки препинания при обособленных обстоятельствах</v>
      </c>
      <c r="D14" s="1">
        <f>IFERROR(__xludf.DUMMYFUNCTION("""COMPUTED_VALUE"""),115.0)</f>
        <v>115</v>
      </c>
      <c r="E14" s="1" t="str">
        <f>IFERROR(__xludf.DUMMYFUNCTION("""COMPUTED_VALUE"""),"Односоставные предложения")</f>
        <v>Односоставные предложения</v>
      </c>
      <c r="F14" s="1">
        <f>IFERROR(__xludf.DUMMYFUNCTION("""COMPUTED_VALUE"""),222.0)</f>
        <v>222</v>
      </c>
      <c r="G14" s="1" t="str">
        <f>IFERROR(__xludf.DUMMYFUNCTION("""COMPUTED_VALUE"""),"Первообразные прилагательные")</f>
        <v>Первообразные прилагательные</v>
      </c>
      <c r="H14" s="1">
        <f>IFERROR(__xludf.DUMMYFUNCTION("""COMPUTED_VALUE"""),317.0)</f>
        <v>317</v>
      </c>
      <c r="I14" s="1" t="str">
        <f>IFERROR(__xludf.DUMMYFUNCTION("""COMPUTED_VALUE"""),"Фонетическая транскрипция")</f>
        <v>Фонетическая транскрипция</v>
      </c>
      <c r="J14" s="1">
        <f>IFERROR(__xludf.DUMMYFUNCTION("""COMPUTED_VALUE"""),426.0)</f>
        <v>426</v>
      </c>
      <c r="K14" s="1" t="str">
        <f>IFERROR(__xludf.DUMMYFUNCTION("""COMPUTED_VALUE"""),"Приставочный способ образования")</f>
        <v>Приставочный способ образования</v>
      </c>
      <c r="L14" s="1">
        <f>IFERROR(__xludf.DUMMYFUNCTION("""COMPUTED_VALUE"""),515.0)</f>
        <v>515</v>
      </c>
      <c r="M14" s="1"/>
      <c r="N14" s="1"/>
      <c r="O14" s="1" t="str">
        <f>IFERROR(__xludf.DUMMYFUNCTION("""COMPUTED_VALUE"""),"Иметь представление о роли, значении и функциях русского языка")</f>
        <v>Иметь представление о роли, значении и функциях русского языка</v>
      </c>
      <c r="P14" s="1">
        <f>IFERROR(__xludf.DUMMYFUNCTION("""COMPUTED_VALUE"""),742.0)</f>
        <v>742</v>
      </c>
      <c r="Q14" s="1" t="str">
        <f>IFERROR(__xludf.DUMMYFUNCTION("""COMPUTED_VALUE"""),"Рассуждение")</f>
        <v>Рассуждение</v>
      </c>
      <c r="R14" s="1">
        <f>IFERROR(__xludf.DUMMYFUNCTION("""COMPUTED_VALUE"""),818.0)</f>
        <v>818</v>
      </c>
      <c r="S14" s="1"/>
      <c r="T14" s="1"/>
      <c r="U14" s="1"/>
      <c r="V14" s="1"/>
      <c r="W14" s="1"/>
      <c r="X14" s="1"/>
      <c r="Y14" s="1"/>
      <c r="Z14" s="1"/>
    </row>
    <row r="15">
      <c r="A15" s="1" t="str">
        <f>IFERROR(__xludf.DUMMYFUNCTION("""COMPUTED_VALUE"""),"Суффиксы существительных -ИЦ-/-ЕЦ-")</f>
        <v>Суффиксы существительных -ИЦ-/-ЕЦ-</v>
      </c>
      <c r="B15" s="1">
        <f>IFERROR(__xludf.DUMMYFUNCTION("""COMPUTED_VALUE"""),27.0)</f>
        <v>27</v>
      </c>
      <c r="C15" s="1" t="str">
        <f>IFERROR(__xludf.DUMMYFUNCTION("""COMPUTED_VALUE"""),"Запятая в предложении со сравнительным оборотом")</f>
        <v>Запятая в предложении со сравнительным оборотом</v>
      </c>
      <c r="D15" s="1">
        <f>IFERROR(__xludf.DUMMYFUNCTION("""COMPUTED_VALUE"""),118.0)</f>
        <v>118</v>
      </c>
      <c r="E15" s="1" t="str">
        <f>IFERROR(__xludf.DUMMYFUNCTION("""COMPUTED_VALUE"""),"Назывные предложения")</f>
        <v>Назывные предложения</v>
      </c>
      <c r="F15" s="1">
        <f>IFERROR(__xludf.DUMMYFUNCTION("""COMPUTED_VALUE"""),223.0)</f>
        <v>223</v>
      </c>
      <c r="G15" s="1" t="str">
        <f>IFERROR(__xludf.DUMMYFUNCTION("""COMPUTED_VALUE"""),"Производная и производящая основа")</f>
        <v>Производная и производящая основа</v>
      </c>
      <c r="H15" s="1">
        <f>IFERROR(__xludf.DUMMYFUNCTION("""COMPUTED_VALUE"""),318.0)</f>
        <v>318</v>
      </c>
      <c r="I15" s="1" t="str">
        <f>IFERROR(__xludf.DUMMYFUNCTION("""COMPUTED_VALUE"""),"Гласные звуки и гласные буквы")</f>
        <v>Гласные звуки и гласные буквы</v>
      </c>
      <c r="J15" s="1">
        <f>IFERROR(__xludf.DUMMYFUNCTION("""COMPUTED_VALUE"""),427.0)</f>
        <v>427</v>
      </c>
      <c r="K15" s="1" t="str">
        <f>IFERROR(__xludf.DUMMYFUNCTION("""COMPUTED_VALUE"""),"Суффиксальный способ образования")</f>
        <v>Суффиксальный способ образования</v>
      </c>
      <c r="L15" s="1">
        <f>IFERROR(__xludf.DUMMYFUNCTION("""COMPUTED_VALUE"""),516.0)</f>
        <v>516</v>
      </c>
      <c r="M15" s="1"/>
      <c r="N15" s="1"/>
      <c r="O15" s="1" t="str">
        <f>IFERROR(__xludf.DUMMYFUNCTION("""COMPUTED_VALUE"""),"Знание качеств, свойств и норм речи")</f>
        <v>Знание качеств, свойств и норм речи</v>
      </c>
      <c r="P15" s="1">
        <f>IFERROR(__xludf.DUMMYFUNCTION("""COMPUTED_VALUE"""),743.0)</f>
        <v>743</v>
      </c>
      <c r="Q15" s="1" t="str">
        <f>IFERROR(__xludf.DUMMYFUNCTION("""COMPUTED_VALUE"""),"Формулировки, обозначающие отношения между предложениями")</f>
        <v>Формулировки, обозначающие отношения между предложениями</v>
      </c>
      <c r="R15" s="1">
        <f>IFERROR(__xludf.DUMMYFUNCTION("""COMPUTED_VALUE"""),819.0)</f>
        <v>819</v>
      </c>
      <c r="S15" s="1"/>
      <c r="T15" s="1"/>
      <c r="U15" s="1"/>
      <c r="V15" s="1"/>
      <c r="W15" s="1"/>
      <c r="X15" s="1"/>
      <c r="Y15" s="1"/>
      <c r="Z15" s="1"/>
    </row>
    <row r="16">
      <c r="A16" s="1" t="str">
        <f>IFERROR(__xludf.DUMMYFUNCTION("""COMPUTED_VALUE"""),"Суффикс существительного -К- в сочетаниях -ИНК-/-ЕНК- и суффикс -ИНК-")</f>
        <v>Суффикс существительного -К- в сочетаниях -ИНК-/-ЕНК- и суффикс -ИНК-</v>
      </c>
      <c r="B16" s="1">
        <f>IFERROR(__xludf.DUMMYFUNCTION("""COMPUTED_VALUE"""),28.0)</f>
        <v>28</v>
      </c>
      <c r="C16" s="1" t="str">
        <f>IFERROR(__xludf.DUMMYFUNCTION("""COMPUTED_VALUE"""),"Знаки препинания в ССП")</f>
        <v>Знаки препинания в ССП</v>
      </c>
      <c r="D16" s="1">
        <f>IFERROR(__xludf.DUMMYFUNCTION("""COMPUTED_VALUE"""),119.0)</f>
        <v>119</v>
      </c>
      <c r="E16" s="1" t="str">
        <f>IFERROR(__xludf.DUMMYFUNCTION("""COMPUTED_VALUE"""),"Определённо-личные предложения")</f>
        <v>Определённо-личные предложения</v>
      </c>
      <c r="F16" s="1">
        <f>IFERROR(__xludf.DUMMYFUNCTION("""COMPUTED_VALUE"""),224.0)</f>
        <v>224</v>
      </c>
      <c r="G16" s="1" t="str">
        <f>IFERROR(__xludf.DUMMYFUNCTION("""COMPUTED_VALUE"""),"Морфемный разбор")</f>
        <v>Морфемный разбор</v>
      </c>
      <c r="H16" s="1">
        <f>IFERROR(__xludf.DUMMYFUNCTION("""COMPUTED_VALUE"""),319.0)</f>
        <v>319</v>
      </c>
      <c r="I16" s="1" t="str">
        <f>IFERROR(__xludf.DUMMYFUNCTION("""COMPUTED_VALUE"""),"Согласные звуки и согласные буквы")</f>
        <v>Согласные звуки и согласные буквы</v>
      </c>
      <c r="J16" s="1">
        <f>IFERROR(__xludf.DUMMYFUNCTION("""COMPUTED_VALUE"""),428.0)</f>
        <v>428</v>
      </c>
      <c r="K16" s="1" t="str">
        <f>IFERROR(__xludf.DUMMYFUNCTION("""COMPUTED_VALUE"""),"Приставочно-суффиксальный способ образования")</f>
        <v>Приставочно-суффиксальный способ образования</v>
      </c>
      <c r="L16" s="1">
        <f>IFERROR(__xludf.DUMMYFUNCTION("""COMPUTED_VALUE"""),517.0)</f>
        <v>517</v>
      </c>
      <c r="M16" s="1"/>
      <c r="N16" s="1"/>
      <c r="O16" s="1" t="str">
        <f>IFERROR(__xludf.DUMMYFUNCTION("""COMPUTED_VALUE"""),"Знание структуры ЕГЭ и ориентирование в распределении баллов")</f>
        <v>Знание структуры ЕГЭ и ориентирование в распределении баллов</v>
      </c>
      <c r="P16" s="1">
        <f>IFERROR(__xludf.DUMMYFUNCTION("""COMPUTED_VALUE"""),744.0)</f>
        <v>744</v>
      </c>
      <c r="Q16" s="1" t="str">
        <f>IFERROR(__xludf.DUMMYFUNCTION("""COMPUTED_VALUE"""),"Лексический анализ слова в тексте")</f>
        <v>Лексический анализ слова в тексте</v>
      </c>
      <c r="R16" s="1">
        <f>IFERROR(__xludf.DUMMYFUNCTION("""COMPUTED_VALUE"""),820.0)</f>
        <v>820</v>
      </c>
      <c r="S16" s="1"/>
      <c r="T16" s="1"/>
      <c r="U16" s="1"/>
      <c r="V16" s="1"/>
      <c r="W16" s="1"/>
      <c r="X16" s="1"/>
      <c r="Y16" s="1"/>
      <c r="Z16" s="1"/>
    </row>
    <row r="17">
      <c r="A17" s="1" t="str">
        <f>IFERROR(__xludf.DUMMYFUNCTION("""COMPUTED_VALUE"""),"Суффиксы существительных -ИНСТВ-/-ЕНСТВ-")</f>
        <v>Суффиксы существительных -ИНСТВ-/-ЕНСТВ-</v>
      </c>
      <c r="B17" s="1">
        <f>IFERROR(__xludf.DUMMYFUNCTION("""COMPUTED_VALUE"""),29.0)</f>
        <v>29</v>
      </c>
      <c r="C17" s="1" t="str">
        <f>IFERROR(__xludf.DUMMYFUNCTION("""COMPUTED_VALUE"""),"Знаки препинания в ССП с общей частью")</f>
        <v>Знаки препинания в ССП с общей частью</v>
      </c>
      <c r="D17" s="1">
        <f>IFERROR(__xludf.DUMMYFUNCTION("""COMPUTED_VALUE"""),120.0)</f>
        <v>120</v>
      </c>
      <c r="E17" s="1" t="str">
        <f>IFERROR(__xludf.DUMMYFUNCTION("""COMPUTED_VALUE"""),"Обобщённо-личные предложения")</f>
        <v>Обобщённо-личные предложения</v>
      </c>
      <c r="F17" s="1">
        <f>IFERROR(__xludf.DUMMYFUNCTION("""COMPUTED_VALUE"""),225.0)</f>
        <v>225</v>
      </c>
      <c r="G17" s="1" t="str">
        <f>IFERROR(__xludf.DUMMYFUNCTION("""COMPUTED_VALUE"""),"Лексический разбор")</f>
        <v>Лексический разбор</v>
      </c>
      <c r="H17" s="1">
        <f>IFERROR(__xludf.DUMMYFUNCTION("""COMPUTED_VALUE"""),320.0)</f>
        <v>320</v>
      </c>
      <c r="I17" s="1" t="str">
        <f>IFERROR(__xludf.DUMMYFUNCTION("""COMPUTED_VALUE"""),"Упрощение групп согласных (непроизносимый согласный)")</f>
        <v>Упрощение групп согласных (непроизносимый согласный)</v>
      </c>
      <c r="J17" s="1">
        <f>IFERROR(__xludf.DUMMYFUNCTION("""COMPUTED_VALUE"""),433.0)</f>
        <v>433</v>
      </c>
      <c r="K17" s="1" t="str">
        <f>IFERROR(__xludf.DUMMYFUNCTION("""COMPUTED_VALUE"""),"Нулевая суффиксация")</f>
        <v>Нулевая суффиксация</v>
      </c>
      <c r="L17" s="1">
        <f>IFERROR(__xludf.DUMMYFUNCTION("""COMPUTED_VALUE"""),518.0)</f>
        <v>518</v>
      </c>
      <c r="M17" s="1"/>
      <c r="N17" s="1"/>
      <c r="O17" s="1"/>
      <c r="P17" s="1"/>
      <c r="Q17" s="1" t="str">
        <f>IFERROR(__xludf.DUMMYFUNCTION("""COMPUTED_VALUE"""),"Определительные местоимения как средство связи")</f>
        <v>Определительные местоимения как средство связи</v>
      </c>
      <c r="R17" s="1">
        <f>IFERROR(__xludf.DUMMYFUNCTION("""COMPUTED_VALUE"""),821.0)</f>
        <v>821</v>
      </c>
      <c r="S17" s="1"/>
      <c r="T17" s="1"/>
      <c r="U17" s="1"/>
      <c r="V17" s="1"/>
      <c r="W17" s="1"/>
      <c r="X17" s="1"/>
      <c r="Y17" s="1"/>
      <c r="Z17" s="1"/>
    </row>
    <row r="18">
      <c r="A18" s="1" t="str">
        <f>IFERROR(__xludf.DUMMYFUNCTION("""COMPUTED_VALUE"""),"Суффиксы существительных -УШК-/-ЫШК-/-ИШК-")</f>
        <v>Суффиксы существительных -УШК-/-ЫШК-/-ИШК-</v>
      </c>
      <c r="B18" s="1">
        <f>IFERROR(__xludf.DUMMYFUNCTION("""COMPUTED_VALUE"""),30.0)</f>
        <v>30</v>
      </c>
      <c r="C18" s="1" t="str">
        <f>IFERROR(__xludf.DUMMYFUNCTION("""COMPUTED_VALUE"""),"Знаки препинания в СПП")</f>
        <v>Знаки препинания в СПП</v>
      </c>
      <c r="D18" s="1">
        <f>IFERROR(__xludf.DUMMYFUNCTION("""COMPUTED_VALUE"""),126.0)</f>
        <v>126</v>
      </c>
      <c r="E18" s="1" t="str">
        <f>IFERROR(__xludf.DUMMYFUNCTION("""COMPUTED_VALUE"""),"Неопределённо личные предложения")</f>
        <v>Неопределённо личные предложения</v>
      </c>
      <c r="F18" s="1">
        <f>IFERROR(__xludf.DUMMYFUNCTION("""COMPUTED_VALUE"""),226.0)</f>
        <v>226</v>
      </c>
      <c r="G18" s="1" t="str">
        <f>IFERROR(__xludf.DUMMYFUNCTION("""COMPUTED_VALUE"""),"Звукопись")</f>
        <v>Звукопись</v>
      </c>
      <c r="H18" s="1">
        <f>IFERROR(__xludf.DUMMYFUNCTION("""COMPUTED_VALUE"""),321.0)</f>
        <v>321</v>
      </c>
      <c r="I18" s="1" t="str">
        <f>IFERROR(__xludf.DUMMYFUNCTION("""COMPUTED_VALUE"""),"Лексическое видоизменение фразеологизма")</f>
        <v>Лексическое видоизменение фразеологизма</v>
      </c>
      <c r="J18" s="1">
        <f>IFERROR(__xludf.DUMMYFUNCTION("""COMPUTED_VALUE"""),440.0)</f>
        <v>440</v>
      </c>
      <c r="K18" s="1" t="str">
        <f>IFERROR(__xludf.DUMMYFUNCTION("""COMPUTED_VALUE"""),"Постфиксация")</f>
        <v>Постфиксация</v>
      </c>
      <c r="L18" s="1">
        <f>IFERROR(__xludf.DUMMYFUNCTION("""COMPUTED_VALUE"""),519.0)</f>
        <v>519</v>
      </c>
      <c r="M18" s="1"/>
      <c r="N18" s="1"/>
      <c r="O18" s="1"/>
      <c r="P18" s="1"/>
      <c r="Q18" s="1" t="str">
        <f>IFERROR(__xludf.DUMMYFUNCTION("""COMPUTED_VALUE"""),"Жанр текста")</f>
        <v>Жанр текста</v>
      </c>
      <c r="R18" s="1">
        <f>IFERROR(__xludf.DUMMYFUNCTION("""COMPUTED_VALUE"""),822.0)</f>
        <v>822</v>
      </c>
      <c r="S18" s="1"/>
      <c r="T18" s="1"/>
      <c r="U18" s="1"/>
      <c r="V18" s="1"/>
      <c r="W18" s="1"/>
      <c r="X18" s="1"/>
      <c r="Y18" s="1"/>
      <c r="Z18" s="1"/>
    </row>
    <row r="19">
      <c r="A19" s="1" t="str">
        <f>IFERROR(__xludf.DUMMYFUNCTION("""COMPUTED_VALUE"""),"Неизменяемые суффиксы существительных (-изн-, -ин-, -отн-, -овн-, -еств-, -ниц-, -овин-, -евин-, -ет-, -от-, -ест-, -ост-)")</f>
        <v>Неизменяемые суффиксы существительных (-изн-, -ин-, -отн-, -овн-, -еств-, -ниц-, -овин-, -евин-, -ет-, -от-, -ест-, -ост-)</v>
      </c>
      <c r="B19" s="1">
        <f>IFERROR(__xludf.DUMMYFUNCTION("""COMPUTED_VALUE"""),31.0)</f>
        <v>31</v>
      </c>
      <c r="C19" s="1" t="str">
        <f>IFERROR(__xludf.DUMMYFUNCTION("""COMPUTED_VALUE"""),"Знаки препинания в СПП с однородными придаточными")</f>
        <v>Знаки препинания в СПП с однородными придаточными</v>
      </c>
      <c r="D19" s="1">
        <f>IFERROR(__xludf.DUMMYFUNCTION("""COMPUTED_VALUE"""),129.0)</f>
        <v>129</v>
      </c>
      <c r="E19" s="1" t="str">
        <f>IFERROR(__xludf.DUMMYFUNCTION("""COMPUTED_VALUE"""),"Безличные предложения")</f>
        <v>Безличные предложения</v>
      </c>
      <c r="F19" s="1">
        <f>IFERROR(__xludf.DUMMYFUNCTION("""COMPUTED_VALUE"""),227.0)</f>
        <v>227</v>
      </c>
      <c r="G19" s="1" t="str">
        <f>IFERROR(__xludf.DUMMYFUNCTION("""COMPUTED_VALUE"""),"Нормативное образование и употребление форм причастий и деепричастий")</f>
        <v>Нормативное образование и употребление форм причастий и деепричастий</v>
      </c>
      <c r="H19" s="1">
        <f>IFERROR(__xludf.DUMMYFUNCTION("""COMPUTED_VALUE"""),329.0)</f>
        <v>329</v>
      </c>
      <c r="I19" s="1"/>
      <c r="J19" s="1"/>
      <c r="K19" s="1" t="str">
        <f>IFERROR(__xludf.DUMMYFUNCTION("""COMPUTED_VALUE"""),"Переход из одной части речи в другую")</f>
        <v>Переход из одной части речи в другую</v>
      </c>
      <c r="L19" s="1">
        <f>IFERROR(__xludf.DUMMYFUNCTION("""COMPUTED_VALUE"""),520.0)</f>
        <v>520</v>
      </c>
      <c r="M19" s="1"/>
      <c r="N19" s="1"/>
      <c r="O19" s="1"/>
      <c r="P19" s="1"/>
      <c r="Q19" s="1" t="str">
        <f>IFERROR(__xludf.DUMMYFUNCTION("""COMPUTED_VALUE"""),"Типы речи")</f>
        <v>Типы речи</v>
      </c>
      <c r="R19" s="1">
        <f>IFERROR(__xludf.DUMMYFUNCTION("""COMPUTED_VALUE"""),823.0)</f>
        <v>823</v>
      </c>
      <c r="S19" s="1"/>
      <c r="T19" s="1"/>
      <c r="U19" s="1"/>
      <c r="V19" s="1"/>
      <c r="W19" s="1"/>
      <c r="X19" s="1"/>
      <c r="Y19" s="1"/>
      <c r="Z19" s="1"/>
    </row>
    <row r="20">
      <c r="A20" s="1" t="str">
        <f>IFERROR(__xludf.DUMMYFUNCTION("""COMPUTED_VALUE"""),"Суффиксы существительных -ЧИК-/ЩИК-")</f>
        <v>Суффиксы существительных -ЧИК-/ЩИК-</v>
      </c>
      <c r="B20" s="1">
        <f>IFERROR(__xludf.DUMMYFUNCTION("""COMPUTED_VALUE"""),32.0)</f>
        <v>32</v>
      </c>
      <c r="C20" s="1" t="str">
        <f>IFERROR(__xludf.DUMMYFUNCTION("""COMPUTED_VALUE"""),"Пунктуация на стыке союзов")</f>
        <v>Пунктуация на стыке союзов</v>
      </c>
      <c r="D20" s="1">
        <f>IFERROR(__xludf.DUMMYFUNCTION("""COMPUTED_VALUE"""),130.0)</f>
        <v>130</v>
      </c>
      <c r="E20" s="1" t="str">
        <f>IFERROR(__xludf.DUMMYFUNCTION("""COMPUTED_VALUE"""),"Неполные предложения. Элипсис")</f>
        <v>Неполные предложения. Элипсис</v>
      </c>
      <c r="F20" s="1">
        <f>IFERROR(__xludf.DUMMYFUNCTION("""COMPUTED_VALUE"""),228.0)</f>
        <v>228</v>
      </c>
      <c r="G20" s="1" t="str">
        <f>IFERROR(__xludf.DUMMYFUNCTION("""COMPUTED_VALUE"""),"Нормативное образование и употребление имен числительных")</f>
        <v>Нормативное образование и употребление имен числительных</v>
      </c>
      <c r="H20" s="1">
        <f>IFERROR(__xludf.DUMMYFUNCTION("""COMPUTED_VALUE"""),336.0)</f>
        <v>336</v>
      </c>
      <c r="I20" s="1"/>
      <c r="J20" s="1"/>
      <c r="K20" s="1" t="str">
        <f>IFERROR(__xludf.DUMMYFUNCTION("""COMPUTED_VALUE"""),"Словообразовательный разбор слова")</f>
        <v>Словообразовательный разбор слова</v>
      </c>
      <c r="L20" s="1">
        <f>IFERROR(__xludf.DUMMYFUNCTION("""COMPUTED_VALUE"""),521.0)</f>
        <v>521</v>
      </c>
      <c r="M20" s="1"/>
      <c r="N20" s="1"/>
      <c r="O20" s="1"/>
      <c r="P20" s="1"/>
      <c r="Q20" s="1" t="str">
        <f>IFERROR(__xludf.DUMMYFUNCTION("""COMPUTED_VALUE"""),"Морфологические признаки")</f>
        <v>Морфологические признаки</v>
      </c>
      <c r="R20" s="1">
        <f>IFERROR(__xludf.DUMMYFUNCTION("""COMPUTED_VALUE"""),824.0)</f>
        <v>824</v>
      </c>
      <c r="S20" s="1"/>
      <c r="T20" s="1"/>
      <c r="U20" s="1"/>
      <c r="V20" s="1"/>
      <c r="W20" s="1"/>
      <c r="X20" s="1"/>
      <c r="Y20" s="1"/>
      <c r="Z20" s="1"/>
    </row>
    <row r="21">
      <c r="A21" s="1" t="str">
        <f>IFERROR(__xludf.DUMMYFUNCTION("""COMPUTED_VALUE"""),"Суффиксы существительных -ИЧ+К-/-ЕЧК-")</f>
        <v>Суффиксы существительных -ИЧ+К-/-ЕЧК-</v>
      </c>
      <c r="B21" s="1">
        <f>IFERROR(__xludf.DUMMYFUNCTION("""COMPUTED_VALUE"""),33.0)</f>
        <v>33</v>
      </c>
      <c r="C21" s="1" t="str">
        <f>IFERROR(__xludf.DUMMYFUNCTION("""COMPUTED_VALUE"""),"Знаки препинания в предложениях с разными видами связи")</f>
        <v>Знаки препинания в предложениях с разными видами связи</v>
      </c>
      <c r="D21" s="1">
        <f>IFERROR(__xludf.DUMMYFUNCTION("""COMPUTED_VALUE"""),131.0)</f>
        <v>131</v>
      </c>
      <c r="E21" s="1" t="str">
        <f>IFERROR(__xludf.DUMMYFUNCTION("""COMPUTED_VALUE"""),"Сложное предложение")</f>
        <v>Сложное предложение</v>
      </c>
      <c r="F21" s="1">
        <f>IFERROR(__xludf.DUMMYFUNCTION("""COMPUTED_VALUE"""),230.0)</f>
        <v>230</v>
      </c>
      <c r="G21" s="1" t="str">
        <f>IFERROR(__xludf.DUMMYFUNCTION("""COMPUTED_VALUE"""),"Нормативное образование и употребление именительного падежа множественного числа существительных")</f>
        <v>Нормативное образование и употребление именительного падежа множественного числа существительных</v>
      </c>
      <c r="H21" s="1">
        <f>IFERROR(__xludf.DUMMYFUNCTION("""COMPUTED_VALUE"""),337.0)</f>
        <v>337</v>
      </c>
      <c r="I21" s="1"/>
      <c r="J21" s="1"/>
      <c r="K21" s="1" t="str">
        <f>IFERROR(__xludf.DUMMYFUNCTION("""COMPUTED_VALUE"""),"Относительные местоимения")</f>
        <v>Относительные местоимения</v>
      </c>
      <c r="L21" s="1">
        <f>IFERROR(__xludf.DUMMYFUNCTION("""COMPUTED_VALUE"""),527.0)</f>
        <v>527</v>
      </c>
      <c r="M21" s="1"/>
      <c r="N21" s="1"/>
      <c r="O21" s="1"/>
      <c r="P21" s="1"/>
      <c r="Q21" s="1" t="str">
        <f>IFERROR(__xludf.DUMMYFUNCTION("""COMPUTED_VALUE"""),"Лексические признаки")</f>
        <v>Лексические признаки</v>
      </c>
      <c r="R21" s="1">
        <f>IFERROR(__xludf.DUMMYFUNCTION("""COMPUTED_VALUE"""),825.0)</f>
        <v>825</v>
      </c>
      <c r="S21" s="1"/>
      <c r="T21" s="1"/>
      <c r="U21" s="1"/>
      <c r="V21" s="1"/>
      <c r="W21" s="1"/>
      <c r="X21" s="1"/>
      <c r="Y21" s="1"/>
      <c r="Z21" s="1"/>
    </row>
    <row r="22">
      <c r="A22" s="1" t="str">
        <f>IFERROR(__xludf.DUMMYFUNCTION("""COMPUTED_VALUE"""),"Суффиксы глаголов -ОВА(ЕВА)-/-ЫВА(ИВА)-")</f>
        <v>Суффиксы глаголов -ОВА(ЕВА)-/-ЫВА(ИВА)-</v>
      </c>
      <c r="B22" s="1">
        <f>IFERROR(__xludf.DUMMYFUNCTION("""COMPUTED_VALUE"""),36.0)</f>
        <v>36</v>
      </c>
      <c r="C22" s="1" t="str">
        <f>IFERROR(__xludf.DUMMYFUNCTION("""COMPUTED_VALUE"""),"Тире между подлежащим и сказуемым")</f>
        <v>Тире между подлежащим и сказуемым</v>
      </c>
      <c r="D22" s="1">
        <f>IFERROR(__xludf.DUMMYFUNCTION("""COMPUTED_VALUE"""),133.0)</f>
        <v>133</v>
      </c>
      <c r="E22" s="1" t="str">
        <f>IFERROR(__xludf.DUMMYFUNCTION("""COMPUTED_VALUE"""),"Придаточные определительные")</f>
        <v>Придаточные определительные</v>
      </c>
      <c r="F22" s="1">
        <f>IFERROR(__xludf.DUMMYFUNCTION("""COMPUTED_VALUE"""),232.0)</f>
        <v>232</v>
      </c>
      <c r="G22" s="1" t="str">
        <f>IFERROR(__xludf.DUMMYFUNCTION("""COMPUTED_VALUE"""),"Нормативное образование и употребление родительного падежа множественного числа существительных")</f>
        <v>Нормативное образование и употребление родительного падежа множественного числа существительных</v>
      </c>
      <c r="H22" s="1">
        <f>IFERROR(__xludf.DUMMYFUNCTION("""COMPUTED_VALUE"""),338.0)</f>
        <v>338</v>
      </c>
      <c r="I22" s="1"/>
      <c r="J22" s="1"/>
      <c r="K22" s="1" t="str">
        <f>IFERROR(__xludf.DUMMYFUNCTION("""COMPUTED_VALUE"""),"Правописание безударных чередующихся гласных в корне слова")</f>
        <v>Правописание безударных чередующихся гласных в корне слова</v>
      </c>
      <c r="L22" s="1">
        <f>IFERROR(__xludf.DUMMYFUNCTION("""COMPUTED_VALUE"""),529.0)</f>
        <v>529</v>
      </c>
      <c r="M22" s="1"/>
      <c r="N22" s="1"/>
      <c r="O22" s="1"/>
      <c r="P22" s="1"/>
      <c r="Q22" s="1" t="str">
        <f>IFERROR(__xludf.DUMMYFUNCTION("""COMPUTED_VALUE"""),"Синтаксические признаки")</f>
        <v>Синтаксические признаки</v>
      </c>
      <c r="R22" s="1">
        <f>IFERROR(__xludf.DUMMYFUNCTION("""COMPUTED_VALUE"""),826.0)</f>
        <v>826</v>
      </c>
      <c r="S22" s="1"/>
      <c r="T22" s="1"/>
      <c r="U22" s="1"/>
      <c r="V22" s="1"/>
      <c r="W22" s="1"/>
      <c r="X22" s="1"/>
      <c r="Y22" s="1"/>
      <c r="Z22" s="1"/>
    </row>
    <row r="23">
      <c r="A23" s="1" t="str">
        <f>IFERROR(__xludf.DUMMYFUNCTION("""COMPUTED_VALUE"""),"Правописание Е и И в суффиксах переходных и непереходных глаголов")</f>
        <v>Правописание Е и И в суффиксах переходных и непереходных глаголов</v>
      </c>
      <c r="B23" s="1">
        <f>IFERROR(__xludf.DUMMYFUNCTION("""COMPUTED_VALUE"""),37.0)</f>
        <v>37</v>
      </c>
      <c r="C23" s="1" t="str">
        <f>IFERROR(__xludf.DUMMYFUNCTION("""COMPUTED_VALUE"""),"Тире в неполном предложении")</f>
        <v>Тире в неполном предложении</v>
      </c>
      <c r="D23" s="1">
        <f>IFERROR(__xludf.DUMMYFUNCTION("""COMPUTED_VALUE"""),134.0)</f>
        <v>134</v>
      </c>
      <c r="E23" s="1" t="str">
        <f>IFERROR(__xludf.DUMMYFUNCTION("""COMPUTED_VALUE"""),"Придаточные изъяснительные")</f>
        <v>Придаточные изъяснительные</v>
      </c>
      <c r="F23" s="1">
        <f>IFERROR(__xludf.DUMMYFUNCTION("""COMPUTED_VALUE"""),233.0)</f>
        <v>233</v>
      </c>
      <c r="G23" s="1" t="str">
        <f>IFERROR(__xludf.DUMMYFUNCTION("""COMPUTED_VALUE"""),"Нормативное образование и употребление сравнительной и превосходной степеней имён прилагательных и наречий")</f>
        <v>Нормативное образование и употребление сравнительной и превосходной степеней имён прилагательных и наречий</v>
      </c>
      <c r="H23" s="1">
        <f>IFERROR(__xludf.DUMMYFUNCTION("""COMPUTED_VALUE"""),339.0)</f>
        <v>339</v>
      </c>
      <c r="I23" s="1"/>
      <c r="J23" s="1"/>
      <c r="K23" s="1" t="str">
        <f>IFERROR(__xludf.DUMMYFUNCTION("""COMPUTED_VALUE"""),"Правописание разделительных Ъ/Ь")</f>
        <v>Правописание разделительных Ъ/Ь</v>
      </c>
      <c r="L23" s="1">
        <f>IFERROR(__xludf.DUMMYFUNCTION("""COMPUTED_VALUE"""),530.0)</f>
        <v>530</v>
      </c>
      <c r="M23" s="1"/>
      <c r="N23" s="1"/>
      <c r="O23" s="1"/>
      <c r="P23" s="1"/>
      <c r="Q23" s="1" t="str">
        <f>IFERROR(__xludf.DUMMYFUNCTION("""COMPUTED_VALUE"""),"Средства выразительности")</f>
        <v>Средства выразительности</v>
      </c>
      <c r="R23" s="1">
        <f>IFERROR(__xludf.DUMMYFUNCTION("""COMPUTED_VALUE"""),827.0)</f>
        <v>827</v>
      </c>
      <c r="S23" s="1"/>
      <c r="T23" s="1"/>
      <c r="U23" s="1"/>
      <c r="V23" s="1"/>
      <c r="W23" s="1"/>
      <c r="X23" s="1"/>
      <c r="Y23" s="1"/>
      <c r="Z23" s="1"/>
    </row>
    <row r="24">
      <c r="A24" s="1" t="str">
        <f>IFERROR(__xludf.DUMMYFUNCTION("""COMPUTED_VALUE"""),"Гласная в суффиксе -ЕН- глагола, обозначающего переход из одного состояния в другое")</f>
        <v>Гласная в суффиксе -ЕН- глагола, обозначающего переход из одного состояния в другое</v>
      </c>
      <c r="B24" s="1">
        <f>IFERROR(__xludf.DUMMYFUNCTION("""COMPUTED_VALUE"""),38.0)</f>
        <v>38</v>
      </c>
      <c r="C24" s="1" t="str">
        <f>IFERROR(__xludf.DUMMYFUNCTION("""COMPUTED_VALUE"""),"Тире в предложениях с обособленными приложениями")</f>
        <v>Тире в предложениях с обособленными приложениями</v>
      </c>
      <c r="D24" s="1">
        <f>IFERROR(__xludf.DUMMYFUNCTION("""COMPUTED_VALUE"""),135.0)</f>
        <v>135</v>
      </c>
      <c r="E24" s="1" t="str">
        <f>IFERROR(__xludf.DUMMYFUNCTION("""COMPUTED_VALUE"""),"Придаточные обстоятельственные")</f>
        <v>Придаточные обстоятельственные</v>
      </c>
      <c r="F24" s="1">
        <f>IFERROR(__xludf.DUMMYFUNCTION("""COMPUTED_VALUE"""),234.0)</f>
        <v>234</v>
      </c>
      <c r="G24" s="1" t="str">
        <f>IFERROR(__xludf.DUMMYFUNCTION("""COMPUTED_VALUE"""),"Нормативное образование и употребление форм глаголов")</f>
        <v>Нормативное образование и употребление форм глаголов</v>
      </c>
      <c r="H24" s="1">
        <f>IFERROR(__xludf.DUMMYFUNCTION("""COMPUTED_VALUE"""),340.0)</f>
        <v>340</v>
      </c>
      <c r="I24" s="1"/>
      <c r="J24" s="1"/>
      <c r="K24" s="1" t="str">
        <f>IFERROR(__xludf.DUMMYFUNCTION("""COMPUTED_VALUE"""),"Правописание приставок на -З и -С")</f>
        <v>Правописание приставок на -З и -С</v>
      </c>
      <c r="L24" s="1">
        <f>IFERROR(__xludf.DUMMYFUNCTION("""COMPUTED_VALUE"""),531.0)</f>
        <v>531</v>
      </c>
      <c r="M24" s="1"/>
      <c r="N24" s="1"/>
      <c r="O24" s="1"/>
      <c r="P24" s="1"/>
      <c r="Q24" s="1" t="str">
        <f>IFERROR(__xludf.DUMMYFUNCTION("""COMPUTED_VALUE"""),"Анализ содержания текста")</f>
        <v>Анализ содержания текста</v>
      </c>
      <c r="R24" s="1">
        <f>IFERROR(__xludf.DUMMYFUNCTION("""COMPUTED_VALUE"""),828.0)</f>
        <v>828</v>
      </c>
      <c r="S24" s="1"/>
      <c r="T24" s="1"/>
      <c r="U24" s="1"/>
      <c r="V24" s="1"/>
      <c r="W24" s="1"/>
      <c r="X24" s="1"/>
      <c r="Y24" s="1"/>
      <c r="Z24" s="1"/>
    </row>
    <row r="25">
      <c r="A25" s="1" t="str">
        <f>IFERROR(__xludf.DUMMYFUNCTION("""COMPUTED_VALUE"""),"Гласная перед суффиксом глагола прошедшего времени")</f>
        <v>Гласная перед суффиксом глагола прошедшего времени</v>
      </c>
      <c r="B25" s="1">
        <f>IFERROR(__xludf.DUMMYFUNCTION("""COMPUTED_VALUE"""),39.0)</f>
        <v>39</v>
      </c>
      <c r="C25" s="1" t="str">
        <f>IFERROR(__xludf.DUMMYFUNCTION("""COMPUTED_VALUE"""),"Тире между словами и цифрами для указания пространственных, временных или количественных пределов")</f>
        <v>Тире между словами и цифрами для указания пространственных, временных или количественных пределов</v>
      </c>
      <c r="D25" s="1">
        <f>IFERROR(__xludf.DUMMYFUNCTION("""COMPUTED_VALUE"""),136.0)</f>
        <v>136</v>
      </c>
      <c r="E25" s="1" t="str">
        <f>IFERROR(__xludf.DUMMYFUNCTION("""COMPUTED_VALUE"""),"Придаточные присоединительные")</f>
        <v>Придаточные присоединительные</v>
      </c>
      <c r="F25" s="1">
        <f>IFERROR(__xludf.DUMMYFUNCTION("""COMPUTED_VALUE"""),235.0)</f>
        <v>235</v>
      </c>
      <c r="G25" s="1"/>
      <c r="H25" s="1"/>
      <c r="I25" s="1"/>
      <c r="J25" s="1"/>
      <c r="K25" s="1" t="str">
        <f>IFERROR(__xludf.DUMMYFUNCTION("""COMPUTED_VALUE"""),"Правописание суффикса глаголов перед ударным -ВА-")</f>
        <v>Правописание суффикса глаголов перед ударным -ВА-</v>
      </c>
      <c r="L25" s="1">
        <f>IFERROR(__xludf.DUMMYFUNCTION("""COMPUTED_VALUE"""),535.0)</f>
        <v>535</v>
      </c>
      <c r="M25" s="1"/>
      <c r="N25" s="1"/>
      <c r="O25" s="1"/>
      <c r="P25" s="1"/>
      <c r="Q25" s="1" t="str">
        <f>IFERROR(__xludf.DUMMYFUNCTION("""COMPUTED_VALUE"""),"Лексическое значение слова (многозначного слова)")</f>
        <v>Лексическое значение слова (многозначного слова)</v>
      </c>
      <c r="R25" s="1">
        <f>IFERROR(__xludf.DUMMYFUNCTION("""COMPUTED_VALUE"""),829.0)</f>
        <v>829</v>
      </c>
      <c r="S25" s="1"/>
      <c r="T25" s="1"/>
      <c r="U25" s="1"/>
      <c r="V25" s="1"/>
      <c r="W25" s="1"/>
      <c r="X25" s="1"/>
      <c r="Y25" s="1"/>
      <c r="Z25" s="1"/>
    </row>
    <row r="26">
      <c r="A26" s="1" t="str">
        <f>IFERROR(__xludf.DUMMYFUNCTION("""COMPUTED_VALUE"""),"Гласная в суффиксе инфинитива глагола")</f>
        <v>Гласная в суффиксе инфинитива глагола</v>
      </c>
      <c r="B26" s="1">
        <f>IFERROR(__xludf.DUMMYFUNCTION("""COMPUTED_VALUE"""),40.0)</f>
        <v>40</v>
      </c>
      <c r="C26" s="1" t="str">
        <f>IFERROR(__xludf.DUMMYFUNCTION("""COMPUTED_VALUE"""),"Тире в предложении с вводными и вставными конструкциями")</f>
        <v>Тире в предложении с вводными и вставными конструкциями</v>
      </c>
      <c r="D26" s="1">
        <f>IFERROR(__xludf.DUMMYFUNCTION("""COMPUTED_VALUE"""),137.0)</f>
        <v>137</v>
      </c>
      <c r="E26" s="1" t="str">
        <f>IFERROR(__xludf.DUMMYFUNCTION("""COMPUTED_VALUE"""),"Нарушение границ предложения")</f>
        <v>Нарушение границ предложения</v>
      </c>
      <c r="F26" s="1">
        <f>IFERROR(__xludf.DUMMYFUNCTION("""COMPUTED_VALUE"""),256.0)</f>
        <v>256</v>
      </c>
      <c r="G26" s="1"/>
      <c r="H26" s="1"/>
      <c r="I26" s="1"/>
      <c r="J26" s="1"/>
      <c r="K26" s="1" t="str">
        <f>IFERROR(__xludf.DUMMYFUNCTION("""COMPUTED_VALUE"""),"Глагольные суффиксы в причастиях и деепричастиях")</f>
        <v>Глагольные суффиксы в причастиях и деепричастиях</v>
      </c>
      <c r="L26" s="1">
        <f>IFERROR(__xludf.DUMMYFUNCTION("""COMPUTED_VALUE"""),536.0)</f>
        <v>536</v>
      </c>
      <c r="M26" s="1"/>
      <c r="N26" s="1"/>
      <c r="O26" s="1"/>
      <c r="P26" s="1"/>
      <c r="Q26" s="1" t="str">
        <f>IFERROR(__xludf.DUMMYFUNCTION("""COMPUTED_VALUE"""),"Союз как средство связи")</f>
        <v>Союз как средство связи</v>
      </c>
      <c r="R26" s="1">
        <f>IFERROR(__xludf.DUMMYFUNCTION("""COMPUTED_VALUE"""),830.0)</f>
        <v>830</v>
      </c>
      <c r="S26" s="1"/>
      <c r="T26" s="1"/>
      <c r="U26" s="1"/>
      <c r="V26" s="1"/>
      <c r="W26" s="1"/>
      <c r="X26" s="1"/>
      <c r="Y26" s="1"/>
      <c r="Z26" s="1"/>
    </row>
    <row r="27">
      <c r="A27" s="1" t="str">
        <f>IFERROR(__xludf.DUMMYFUNCTION("""COMPUTED_VALUE"""),"Суффиксы прилагательных -ЕВ-/-ИВ-")</f>
        <v>Суффиксы прилагательных -ЕВ-/-ИВ-</v>
      </c>
      <c r="B27" s="1">
        <f>IFERROR(__xludf.DUMMYFUNCTION("""COMPUTED_VALUE"""),44.0)</f>
        <v>44</v>
      </c>
      <c r="C27" s="1" t="str">
        <f>IFERROR(__xludf.DUMMYFUNCTION("""COMPUTED_VALUE"""),"Тире в предложениях с уточняющими членами предложения")</f>
        <v>Тире в предложениях с уточняющими членами предложения</v>
      </c>
      <c r="D27" s="1">
        <f>IFERROR(__xludf.DUMMYFUNCTION("""COMPUTED_VALUE"""),138.0)</f>
        <v>138</v>
      </c>
      <c r="E27" s="1" t="str">
        <f>IFERROR(__xludf.DUMMYFUNCTION("""COMPUTED_VALUE"""),"Сложносочиненное предложение")</f>
        <v>Сложносочиненное предложение</v>
      </c>
      <c r="F27" s="1">
        <f>IFERROR(__xludf.DUMMYFUNCTION("""COMPUTED_VALUE"""),259.0)</f>
        <v>259</v>
      </c>
      <c r="G27" s="1"/>
      <c r="H27" s="1"/>
      <c r="I27" s="1"/>
      <c r="J27" s="1"/>
      <c r="K27" s="1" t="str">
        <f>IFERROR(__xludf.DUMMYFUNCTION("""COMPUTED_VALUE"""),"Слитное и раздельное написание производных предлогов")</f>
        <v>Слитное и раздельное написание производных предлогов</v>
      </c>
      <c r="L27" s="1">
        <f>IFERROR(__xludf.DUMMYFUNCTION("""COMPUTED_VALUE"""),542.0)</f>
        <v>542</v>
      </c>
      <c r="M27" s="1"/>
      <c r="N27" s="1"/>
      <c r="O27" s="1"/>
      <c r="P27" s="1"/>
      <c r="Q27" s="1" t="str">
        <f>IFERROR(__xludf.DUMMYFUNCTION("""COMPUTED_VALUE"""),"Частицы как средство связи")</f>
        <v>Частицы как средство связи</v>
      </c>
      <c r="R27" s="1">
        <f>IFERROR(__xludf.DUMMYFUNCTION("""COMPUTED_VALUE"""),831.0)</f>
        <v>831</v>
      </c>
      <c r="S27" s="1"/>
      <c r="T27" s="1"/>
      <c r="U27" s="1"/>
      <c r="V27" s="1"/>
      <c r="W27" s="1"/>
      <c r="X27" s="1"/>
      <c r="Y27" s="1"/>
      <c r="Z27" s="1"/>
    </row>
    <row r="28">
      <c r="A28" s="1" t="str">
        <f>IFERROR(__xludf.DUMMYFUNCTION("""COMPUTED_VALUE"""),"Гласная в суффиксах прилагательных после шипящих под ударением")</f>
        <v>Гласная в суффиксах прилагательных после шипящих под ударением</v>
      </c>
      <c r="B28" s="1">
        <f>IFERROR(__xludf.DUMMYFUNCTION("""COMPUTED_VALUE"""),45.0)</f>
        <v>45</v>
      </c>
      <c r="C28" s="1" t="str">
        <f>IFERROR(__xludf.DUMMYFUNCTION("""COMPUTED_VALUE"""),"Тире в бессоюзном сложном предложении")</f>
        <v>Тире в бессоюзном сложном предложении</v>
      </c>
      <c r="D28" s="1">
        <f>IFERROR(__xludf.DUMMYFUNCTION("""COMPUTED_VALUE"""),139.0)</f>
        <v>139</v>
      </c>
      <c r="E28" s="1" t="str">
        <f>IFERROR(__xludf.DUMMYFUNCTION("""COMPUTED_VALUE"""),"Сложноподчиненное предложение")</f>
        <v>Сложноподчиненное предложение</v>
      </c>
      <c r="F28" s="1">
        <f>IFERROR(__xludf.DUMMYFUNCTION("""COMPUTED_VALUE"""),260.0)</f>
        <v>260</v>
      </c>
      <c r="G28" s="1"/>
      <c r="H28" s="1"/>
      <c r="I28" s="1"/>
      <c r="J28" s="1"/>
      <c r="K28" s="1" t="str">
        <f>IFERROR(__xludf.DUMMYFUNCTION("""COMPUTED_VALUE"""),"Правописание -Н- и -НН- в суффиксах кратких отымённых прилагательных")</f>
        <v>Правописание -Н- и -НН- в суффиксах кратких отымённых прилагательных</v>
      </c>
      <c r="L28" s="1">
        <f>IFERROR(__xludf.DUMMYFUNCTION("""COMPUTED_VALUE"""),543.0)</f>
        <v>543</v>
      </c>
      <c r="M28" s="1"/>
      <c r="N28" s="1"/>
      <c r="O28" s="1"/>
      <c r="P28" s="1"/>
      <c r="Q28" s="1" t="str">
        <f>IFERROR(__xludf.DUMMYFUNCTION("""COMPUTED_VALUE"""),"Отбор языковых средств (сочинительный союз).")</f>
        <v>Отбор языковых средств (сочинительный союз).</v>
      </c>
      <c r="R28" s="1">
        <f>IFERROR(__xludf.DUMMYFUNCTION("""COMPUTED_VALUE"""),832.0)</f>
        <v>832</v>
      </c>
      <c r="S28" s="1"/>
      <c r="T28" s="1"/>
      <c r="U28" s="1"/>
      <c r="V28" s="1"/>
      <c r="W28" s="1"/>
      <c r="X28" s="1"/>
      <c r="Y28" s="1"/>
      <c r="Z28" s="1"/>
    </row>
    <row r="29">
      <c r="A29" s="1" t="str">
        <f>IFERROR(__xludf.DUMMYFUNCTION("""COMPUTED_VALUE"""),"Суффиксы прилагательных -ЧИВ-/-ЛИВ-/-ИСТ-")</f>
        <v>Суффиксы прилагательных -ЧИВ-/-ЛИВ-/-ИСТ-</v>
      </c>
      <c r="B29" s="1">
        <f>IFERROR(__xludf.DUMMYFUNCTION("""COMPUTED_VALUE"""),46.0)</f>
        <v>46</v>
      </c>
      <c r="C29" s="1" t="str">
        <f>IFERROR(__xludf.DUMMYFUNCTION("""COMPUTED_VALUE"""),"Двоеточие в бессоюзном сложном предложении")</f>
        <v>Двоеточие в бессоюзном сложном предложении</v>
      </c>
      <c r="D29" s="1">
        <f>IFERROR(__xludf.DUMMYFUNCTION("""COMPUTED_VALUE"""),140.0)</f>
        <v>140</v>
      </c>
      <c r="E29" s="1" t="str">
        <f>IFERROR(__xludf.DUMMYFUNCTION("""COMPUTED_VALUE"""),"Бессоюзное сложное предложение")</f>
        <v>Бессоюзное сложное предложение</v>
      </c>
      <c r="F29" s="1">
        <f>IFERROR(__xludf.DUMMYFUNCTION("""COMPUTED_VALUE"""),261.0)</f>
        <v>261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 t="str">
        <f>IFERROR(__xludf.DUMMYFUNCTION("""COMPUTED_VALUE"""),"Отбор языковых средств (подчинительный союз и союзное слово).")</f>
        <v>Отбор языковых средств (подчинительный союз и союзное слово).</v>
      </c>
      <c r="R29" s="1">
        <f>IFERROR(__xludf.DUMMYFUNCTION("""COMPUTED_VALUE"""),833.0)</f>
        <v>833</v>
      </c>
      <c r="S29" s="1"/>
      <c r="T29" s="1"/>
      <c r="U29" s="1"/>
      <c r="V29" s="1"/>
      <c r="W29" s="1"/>
      <c r="X29" s="1"/>
      <c r="Y29" s="1"/>
      <c r="Z29" s="1"/>
    </row>
    <row r="30">
      <c r="A30" s="1" t="str">
        <f>IFERROR(__xludf.DUMMYFUNCTION("""COMPUTED_VALUE"""),"Суффиксы прилагательных -ОВ-/-ЕВ-/-ОВАТ-/-ЕВАТ-/-ОВИТ-/-ЕВИТ-")</f>
        <v>Суффиксы прилагательных -ОВ-/-ЕВ-/-ОВАТ-/-ЕВАТ-/-ОВИТ-/-ЕВИТ-</v>
      </c>
      <c r="B30" s="1">
        <f>IFERROR(__xludf.DUMMYFUNCTION("""COMPUTED_VALUE"""),47.0)</f>
        <v>47</v>
      </c>
      <c r="C30" s="1" t="str">
        <f>IFERROR(__xludf.DUMMYFUNCTION("""COMPUTED_VALUE"""),"Пунктуационный разбор предложения")</f>
        <v>Пунктуационный разбор предложения</v>
      </c>
      <c r="D30" s="1">
        <f>IFERROR(__xludf.DUMMYFUNCTION("""COMPUTED_VALUE"""),142.0)</f>
        <v>142</v>
      </c>
      <c r="E30" s="1" t="str">
        <f>IFERROR(__xludf.DUMMYFUNCTION("""COMPUTED_VALUE"""),"Простое предложение")</f>
        <v>Простое предложение</v>
      </c>
      <c r="F30" s="1">
        <f>IFERROR(__xludf.DUMMYFUNCTION("""COMPUTED_VALUE"""),277.0)</f>
        <v>277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 t="str">
        <f>IFERROR(__xludf.DUMMYFUNCTION("""COMPUTED_VALUE"""),"Отбор языковых средств (местоимение).")</f>
        <v>Отбор языковых средств (местоимение).</v>
      </c>
      <c r="R30" s="1">
        <f>IFERROR(__xludf.DUMMYFUNCTION("""COMPUTED_VALUE"""),834.0)</f>
        <v>834</v>
      </c>
      <c r="S30" s="1"/>
      <c r="T30" s="1"/>
      <c r="U30" s="1"/>
      <c r="V30" s="1"/>
      <c r="W30" s="1"/>
      <c r="X30" s="1"/>
      <c r="Y30" s="1"/>
      <c r="Z30" s="1"/>
    </row>
    <row r="31">
      <c r="A31" s="1" t="str">
        <f>IFERROR(__xludf.DUMMYFUNCTION("""COMPUTED_VALUE"""),"Суффиксы прилагательных -ЧАТ-/-АТ-")</f>
        <v>Суффиксы прилагательных -ЧАТ-/-АТ-</v>
      </c>
      <c r="B31" s="1">
        <f>IFERROR(__xludf.DUMMYFUNCTION("""COMPUTED_VALUE"""),48.0)</f>
        <v>48</v>
      </c>
      <c r="C31" s="1" t="str">
        <f>IFERROR(__xludf.DUMMYFUNCTION("""COMPUTED_VALUE"""),"Пунктуация в простом предложении с несколькими рядами однородных членов")</f>
        <v>Пунктуация в простом предложении с несколькими рядами однородных членов</v>
      </c>
      <c r="D31" s="1">
        <f>IFERROR(__xludf.DUMMYFUNCTION("""COMPUTED_VALUE"""),146.0)</f>
        <v>146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 t="str">
        <f>IFERROR(__xludf.DUMMYFUNCTION("""COMPUTED_VALUE"""),"Отбор языковых средств (вводное слово и вставная конструкция)")</f>
        <v>Отбор языковых средств (вводное слово и вставная конструкция)</v>
      </c>
      <c r="R31" s="1">
        <f>IFERROR(__xludf.DUMMYFUNCTION("""COMPUTED_VALUE"""),835.0)</f>
        <v>835</v>
      </c>
      <c r="S31" s="1"/>
      <c r="T31" s="1"/>
      <c r="U31" s="1"/>
      <c r="V31" s="1"/>
      <c r="W31" s="1"/>
      <c r="X31" s="1"/>
      <c r="Y31" s="1"/>
      <c r="Z31" s="1"/>
    </row>
    <row r="32">
      <c r="A32" s="1" t="str">
        <f>IFERROR(__xludf.DUMMYFUNCTION("""COMPUTED_VALUE"""),"Суффиксы прилагательных -К-/-СК-")</f>
        <v>Суффиксы прилагательных -К-/-СК-</v>
      </c>
      <c r="B32" s="1">
        <f>IFERROR(__xludf.DUMMYFUNCTION("""COMPUTED_VALUE"""),49.0)</f>
        <v>49</v>
      </c>
      <c r="C32" s="1" t="str">
        <f>IFERROR(__xludf.DUMMYFUNCTION("""COMPUTED_VALUE"""),"Разграничение вводных слов и членов предложения")</f>
        <v>Разграничение вводных слов и членов предложения</v>
      </c>
      <c r="D32" s="1">
        <f>IFERROR(__xludf.DUMMYFUNCTION("""COMPUTED_VALUE"""),147.0)</f>
        <v>147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 t="str">
        <f>IFERROR(__xludf.DUMMYFUNCTION("""COMPUTED_VALUE"""),"Отбор языковых средств (наречие).")</f>
        <v>Отбор языковых средств (наречие).</v>
      </c>
      <c r="R32" s="1">
        <f>IFERROR(__xludf.DUMMYFUNCTION("""COMPUTED_VALUE"""),836.0)</f>
        <v>836</v>
      </c>
      <c r="S32" s="1"/>
      <c r="T32" s="1"/>
      <c r="U32" s="1"/>
      <c r="V32" s="1"/>
      <c r="W32" s="1"/>
      <c r="X32" s="1"/>
      <c r="Y32" s="1"/>
      <c r="Z32" s="1"/>
    </row>
    <row r="33">
      <c r="A33" s="1" t="str">
        <f>IFERROR(__xludf.DUMMYFUNCTION("""COMPUTED_VALUE"""),"Суффиксы прилагательных -ОНЬК-/-ЕНЬК-")</f>
        <v>Суффиксы прилагательных -ОНЬК-/-ЕНЬК-</v>
      </c>
      <c r="B33" s="1">
        <f>IFERROR(__xludf.DUMMYFUNCTION("""COMPUTED_VALUE"""),50.0)</f>
        <v>50</v>
      </c>
      <c r="C33" s="1" t="str">
        <f>IFERROR(__xludf.DUMMYFUNCTION("""COMPUTED_VALUE"""),"Пунктуация в простом предложении с однородными членами, связанными бессоюзной связью")</f>
        <v>Пунктуация в простом предложении с однородными членами, связанными бессоюзной связью</v>
      </c>
      <c r="D33" s="1">
        <f>IFERROR(__xludf.DUMMYFUNCTION("""COMPUTED_VALUE"""),148.0)</f>
        <v>148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 t="str">
        <f>IFERROR(__xludf.DUMMYFUNCTION("""COMPUTED_VALUE"""),"Отбор языковых средств (предлог и производный предлог)")</f>
        <v>Отбор языковых средств (предлог и производный предлог)</v>
      </c>
      <c r="R33" s="1">
        <f>IFERROR(__xludf.DUMMYFUNCTION("""COMPUTED_VALUE"""),837.0)</f>
        <v>837</v>
      </c>
      <c r="S33" s="1"/>
      <c r="T33" s="1"/>
      <c r="U33" s="1"/>
      <c r="V33" s="1"/>
      <c r="W33" s="1"/>
      <c r="X33" s="1"/>
      <c r="Y33" s="1"/>
      <c r="Z33" s="1"/>
    </row>
    <row r="34">
      <c r="A34" s="1" t="str">
        <f>IFERROR(__xludf.DUMMYFUNCTION("""COMPUTED_VALUE"""),"Суффикс прилагательных -ЕСК-")</f>
        <v>Суффикс прилагательных -ЕСК-</v>
      </c>
      <c r="B34" s="1">
        <f>IFERROR(__xludf.DUMMYFUNCTION("""COMPUTED_VALUE"""),51.0)</f>
        <v>51</v>
      </c>
      <c r="C34" s="1" t="str">
        <f>IFERROR(__xludf.DUMMYFUNCTION("""COMPUTED_VALUE"""),"Знаки препинания при междометиях")</f>
        <v>Знаки препинания при междометиях</v>
      </c>
      <c r="D34" s="1">
        <f>IFERROR(__xludf.DUMMYFUNCTION("""COMPUTED_VALUE"""),166.0)</f>
        <v>166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 t="str">
        <f>IFERROR(__xludf.DUMMYFUNCTION("""COMPUTED_VALUE"""),"Отбор языковых средств (частица)")</f>
        <v>Отбор языковых средств (частица)</v>
      </c>
      <c r="R34" s="1">
        <f>IFERROR(__xludf.DUMMYFUNCTION("""COMPUTED_VALUE"""),838.0)</f>
        <v>838</v>
      </c>
      <c r="S34" s="1"/>
      <c r="T34" s="1"/>
      <c r="U34" s="1"/>
      <c r="V34" s="1"/>
      <c r="W34" s="1"/>
      <c r="X34" s="1"/>
      <c r="Y34" s="1"/>
      <c r="Z34" s="1"/>
    </row>
    <row r="35">
      <c r="A35" s="1" t="str">
        <f>IFERROR(__xludf.DUMMYFUNCTION("""COMPUTED_VALUE"""),"Гласная перед Ч в прилагательных на -ЧИЙ")</f>
        <v>Гласная перед Ч в прилагательных на -ЧИЙ</v>
      </c>
      <c r="B35" s="1">
        <f>IFERROR(__xludf.DUMMYFUNCTION("""COMPUTED_VALUE"""),52.0)</f>
        <v>52</v>
      </c>
      <c r="C35" s="1" t="str">
        <f>IFERROR(__xludf.DUMMYFUNCTION("""COMPUTED_VALUE"""),"Тире в предложении с однородными членами и обобщающим словом")</f>
        <v>Тире в предложении с однородными членами и обобщающим словом</v>
      </c>
      <c r="D35" s="1">
        <f>IFERROR(__xludf.DUMMYFUNCTION("""COMPUTED_VALUE"""),167.0)</f>
        <v>167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 t="str">
        <f>IFERROR(__xludf.DUMMYFUNCTION("""COMPUTED_VALUE"""),"Повествование")</f>
        <v>Повествование</v>
      </c>
      <c r="R35" s="1">
        <f>IFERROR(__xludf.DUMMYFUNCTION("""COMPUTED_VALUE"""),839.0)</f>
        <v>839</v>
      </c>
      <c r="S35" s="1"/>
      <c r="T35" s="1"/>
      <c r="U35" s="1"/>
      <c r="V35" s="1"/>
      <c r="W35" s="1"/>
      <c r="X35" s="1"/>
      <c r="Y35" s="1"/>
      <c r="Z35" s="1"/>
    </row>
    <row r="36">
      <c r="A36" s="1" t="str">
        <f>IFERROR(__xludf.DUMMYFUNCTION("""COMPUTED_VALUE"""),"Омонимия в суффиксах прилагательных -ЯН-/-ЕН-")</f>
        <v>Омонимия в суффиксах прилагательных -ЯН-/-ЕН-</v>
      </c>
      <c r="B36" s="1">
        <f>IFERROR(__xludf.DUMMYFUNCTION("""COMPUTED_VALUE"""),54.0)</f>
        <v>54</v>
      </c>
      <c r="C36" s="1" t="str">
        <f>IFERROR(__xludf.DUMMYFUNCTION("""COMPUTED_VALUE"""),"Двоеточие в предложениями с однородными членами и обобщающим словом")</f>
        <v>Двоеточие в предложениями с однородными членами и обобщающим словом</v>
      </c>
      <c r="D36" s="1">
        <f>IFERROR(__xludf.DUMMYFUNCTION("""COMPUTED_VALUE"""),168.0)</f>
        <v>168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 t="str">
        <f>IFERROR(__xludf.DUMMYFUNCTION("""COMPUTED_VALUE"""),"Описание")</f>
        <v>Описание</v>
      </c>
      <c r="R36" s="1">
        <f>IFERROR(__xludf.DUMMYFUNCTION("""COMPUTED_VALUE"""),840.0)</f>
        <v>840</v>
      </c>
      <c r="S36" s="1"/>
      <c r="T36" s="1"/>
      <c r="U36" s="1"/>
      <c r="V36" s="1"/>
      <c r="W36" s="1"/>
      <c r="X36" s="1"/>
      <c r="Y36" s="1"/>
      <c r="Z36" s="1"/>
    </row>
    <row r="37">
      <c r="A37" s="1" t="str">
        <f>IFERROR(__xludf.DUMMYFUNCTION("""COMPUTED_VALUE"""),"Правописание безударных личных окончаний глаголов 1 спряжения")</f>
        <v>Правописание безударных личных окончаний глаголов 1 спряжения</v>
      </c>
      <c r="B37" s="1">
        <f>IFERROR(__xludf.DUMMYFUNCTION("""COMPUTED_VALUE"""),55.0)</f>
        <v>55</v>
      </c>
      <c r="C37" s="1" t="str">
        <f>IFERROR(__xludf.DUMMYFUNCTION("""COMPUTED_VALUE"""),"Запятая при передаче на письме чужой речи (прямая речь)")</f>
        <v>Запятая при передаче на письме чужой речи (прямая речь)</v>
      </c>
      <c r="D37" s="1">
        <f>IFERROR(__xludf.DUMMYFUNCTION("""COMPUTED_VALUE"""),169.0)</f>
        <v>169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 t="str">
        <f>IFERROR(__xludf.DUMMYFUNCTION("""COMPUTED_VALUE"""),"Рассуждение")</f>
        <v>Рассуждение</v>
      </c>
      <c r="R37" s="1">
        <f>IFERROR(__xludf.DUMMYFUNCTION("""COMPUTED_VALUE"""),841.0)</f>
        <v>841</v>
      </c>
      <c r="S37" s="1"/>
      <c r="T37" s="1"/>
      <c r="U37" s="1"/>
      <c r="V37" s="1"/>
      <c r="W37" s="1"/>
      <c r="X37" s="1"/>
      <c r="Y37" s="1"/>
      <c r="Z37" s="1"/>
    </row>
    <row r="38">
      <c r="A38" s="1" t="str">
        <f>IFERROR(__xludf.DUMMYFUNCTION("""COMPUTED_VALUE"""),"Правописание безударных личных окончаний глаголов 2 спряжения")</f>
        <v>Правописание безударных личных окончаний глаголов 2 спряжения</v>
      </c>
      <c r="B38" s="1">
        <f>IFERROR(__xludf.DUMMYFUNCTION("""COMPUTED_VALUE"""),56.0)</f>
        <v>56</v>
      </c>
      <c r="C38" s="1" t="str">
        <f>IFERROR(__xludf.DUMMYFUNCTION("""COMPUTED_VALUE"""),"Тире при передаче на письме чужой речи (диалог, прямая речь)")</f>
        <v>Тире при передаче на письме чужой речи (диалог, прямая речь)</v>
      </c>
      <c r="D38" s="1">
        <f>IFERROR(__xludf.DUMMYFUNCTION("""COMPUTED_VALUE"""),170.0)</f>
        <v>170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 t="str">
        <f>IFERROR(__xludf.DUMMYFUNCTION("""COMPUTED_VALUE"""),"Метафора")</f>
        <v>Метафора</v>
      </c>
      <c r="R38" s="1">
        <f>IFERROR(__xludf.DUMMYFUNCTION("""COMPUTED_VALUE"""),842.0)</f>
        <v>842</v>
      </c>
      <c r="S38" s="1"/>
      <c r="T38" s="1"/>
      <c r="U38" s="1"/>
      <c r="V38" s="1"/>
      <c r="W38" s="1"/>
      <c r="X38" s="1"/>
      <c r="Y38" s="1"/>
      <c r="Z38" s="1"/>
    </row>
    <row r="39">
      <c r="A39" s="1" t="str">
        <f>IFERROR(__xludf.DUMMYFUNCTION("""COMPUTED_VALUE"""),"Правописание личных окончаний глагола с приставкой ВЫ-")</f>
        <v>Правописание личных окончаний глагола с приставкой ВЫ-</v>
      </c>
      <c r="B39" s="1">
        <f>IFERROR(__xludf.DUMMYFUNCTION("""COMPUTED_VALUE"""),57.0)</f>
        <v>57</v>
      </c>
      <c r="C39" s="1" t="str">
        <f>IFERROR(__xludf.DUMMYFUNCTION("""COMPUTED_VALUE"""),"Двоеточие при передаче на письме чужой речи (прямая речь)")</f>
        <v>Двоеточие при передаче на письме чужой речи (прямая речь)</v>
      </c>
      <c r="D39" s="1">
        <f>IFERROR(__xludf.DUMMYFUNCTION("""COMPUTED_VALUE"""),171.0)</f>
        <v>171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 t="str">
        <f>IFERROR(__xludf.DUMMYFUNCTION("""COMPUTED_VALUE"""),"Олицетворение")</f>
        <v>Олицетворение</v>
      </c>
      <c r="R39" s="1">
        <f>IFERROR(__xludf.DUMMYFUNCTION("""COMPUTED_VALUE"""),843.0)</f>
        <v>843</v>
      </c>
      <c r="S39" s="1"/>
      <c r="T39" s="1"/>
      <c r="U39" s="1"/>
      <c r="V39" s="1"/>
      <c r="W39" s="1"/>
      <c r="X39" s="1"/>
      <c r="Y39" s="1"/>
      <c r="Z39" s="1"/>
    </row>
    <row r="40">
      <c r="A40" s="1" t="str">
        <f>IFERROR(__xludf.DUMMYFUNCTION("""COMPUTED_VALUE"""),"Правописание личных окончаний разноспрягаемых глаголов")</f>
        <v>Правописание личных окончаний разноспрягаемых глаголов</v>
      </c>
      <c r="B40" s="1">
        <f>IFERROR(__xludf.DUMMYFUNCTION("""COMPUTED_VALUE"""),58.0)</f>
        <v>58</v>
      </c>
      <c r="C40" s="1" t="str">
        <f>IFERROR(__xludf.DUMMYFUNCTION("""COMPUTED_VALUE"""),"Пунктуация в простом предложении с однородными членами, связанными бессоюзной связью")</f>
        <v>Пунктуация в простом предложении с однородными членами, связанными бессоюзной связью</v>
      </c>
      <c r="D40" s="1">
        <f>IFERROR(__xludf.DUMMYFUNCTION("""COMPUTED_VALUE"""),172.0)</f>
        <v>172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 t="str">
        <f>IFERROR(__xludf.DUMMYFUNCTION("""COMPUTED_VALUE"""),"Разговорный стиль речи")</f>
        <v>Разговорный стиль речи</v>
      </c>
      <c r="R40" s="1">
        <f>IFERROR(__xludf.DUMMYFUNCTION("""COMPUTED_VALUE"""),844.0)</f>
        <v>844</v>
      </c>
      <c r="S40" s="1"/>
      <c r="T40" s="1"/>
      <c r="U40" s="1"/>
      <c r="V40" s="1"/>
      <c r="W40" s="1"/>
      <c r="X40" s="1"/>
      <c r="Y40" s="1"/>
      <c r="Z40" s="1"/>
    </row>
    <row r="41">
      <c r="A41" s="1" t="str">
        <f>IFERROR(__xludf.DUMMYFUNCTION("""COMPUTED_VALUE"""),"Разграничение частиц НЕ и НИ")</f>
        <v>Разграничение частиц НЕ и НИ</v>
      </c>
      <c r="B41" s="1">
        <f>IFERROR(__xludf.DUMMYFUNCTION("""COMPUTED_VALUE"""),62.0)</f>
        <v>62</v>
      </c>
      <c r="C41" s="1" t="str">
        <f>IFERROR(__xludf.DUMMYFUNCTION("""COMPUTED_VALUE"""),"Пунктуация в простом предложении с однородными членами, связанными одиночным соединительным или разделительным союзом")</f>
        <v>Пунктуация в простом предложении с однородными членами, связанными одиночным соединительным или разделительным союзом</v>
      </c>
      <c r="D41" s="1">
        <f>IFERROR(__xludf.DUMMYFUNCTION("""COMPUTED_VALUE"""),173.0)</f>
        <v>173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 t="str">
        <f>IFERROR(__xludf.DUMMYFUNCTION("""COMPUTED_VALUE"""),"Научный стиль речи")</f>
        <v>Научный стиль речи</v>
      </c>
      <c r="R41" s="1">
        <f>IFERROR(__xludf.DUMMYFUNCTION("""COMPUTED_VALUE"""),845.0)</f>
        <v>845</v>
      </c>
      <c r="S41" s="1"/>
      <c r="T41" s="1"/>
      <c r="U41" s="1"/>
      <c r="V41" s="1"/>
      <c r="W41" s="1"/>
      <c r="X41" s="1"/>
      <c r="Y41" s="1"/>
      <c r="Z41" s="1"/>
    </row>
    <row r="42">
      <c r="A42" s="1" t="str">
        <f>IFERROR(__xludf.DUMMYFUNCTION("""COMPUTED_VALUE"""),"Различие приставки НЕДО- от сочетания слов НЕ ДО-")</f>
        <v>Различие приставки НЕДО- от сочетания слов НЕ ДО-</v>
      </c>
      <c r="B42" s="1">
        <f>IFERROR(__xludf.DUMMYFUNCTION("""COMPUTED_VALUE"""),64.0)</f>
        <v>64</v>
      </c>
      <c r="C42" s="1" t="str">
        <f>IFERROR(__xludf.DUMMYFUNCTION("""COMPUTED_VALUE"""),"Пунктуация в простом предложении с однородными членами, связанными повторяющимися союзами")</f>
        <v>Пунктуация в простом предложении с однородными членами, связанными повторяющимися союзами</v>
      </c>
      <c r="D42" s="1">
        <f>IFERROR(__xludf.DUMMYFUNCTION("""COMPUTED_VALUE"""),175.0)</f>
        <v>175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 t="str">
        <f>IFERROR(__xludf.DUMMYFUNCTION("""COMPUTED_VALUE"""),"Официально-деловой стиль речи")</f>
        <v>Официально-деловой стиль речи</v>
      </c>
      <c r="R42" s="1">
        <f>IFERROR(__xludf.DUMMYFUNCTION("""COMPUTED_VALUE"""),846.0)</f>
        <v>846</v>
      </c>
      <c r="S42" s="1"/>
      <c r="T42" s="1"/>
      <c r="U42" s="1"/>
      <c r="V42" s="1"/>
      <c r="W42" s="1"/>
      <c r="X42" s="1"/>
      <c r="Y42" s="1"/>
      <c r="Z42" s="1"/>
    </row>
    <row r="43">
      <c r="A43" s="1" t="str">
        <f>IFERROR(__xludf.DUMMYFUNCTION("""COMPUTED_VALUE"""),"Правописание частиц НЕ и НИ с краткими прилагательными, не имеющими полную форму")</f>
        <v>Правописание частиц НЕ и НИ с краткими прилагательными, не имеющими полную форму</v>
      </c>
      <c r="B43" s="1">
        <f>IFERROR(__xludf.DUMMYFUNCTION("""COMPUTED_VALUE"""),68.0)</f>
        <v>68</v>
      </c>
      <c r="C43" s="1" t="str">
        <f>IFERROR(__xludf.DUMMYFUNCTION("""COMPUTED_VALUE"""),"Запятая в предложении с однородными членами (синтаксический анализ)")</f>
        <v>Запятая в предложении с однородными членами (синтаксический анализ)</v>
      </c>
      <c r="D43" s="1">
        <f>IFERROR(__xludf.DUMMYFUNCTION("""COMPUTED_VALUE"""),176.0)</f>
        <v>176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 t="str">
        <f>IFERROR(__xludf.DUMMYFUNCTION("""COMPUTED_VALUE"""),"Художественный стиль речи")</f>
        <v>Художественный стиль речи</v>
      </c>
      <c r="R43" s="1">
        <f>IFERROR(__xludf.DUMMYFUNCTION("""COMPUTED_VALUE"""),847.0)</f>
        <v>847</v>
      </c>
      <c r="S43" s="1"/>
      <c r="T43" s="1"/>
      <c r="U43" s="1"/>
      <c r="V43" s="1"/>
      <c r="W43" s="1"/>
      <c r="X43" s="1"/>
      <c r="Y43" s="1"/>
      <c r="Z43" s="1"/>
    </row>
    <row r="44">
      <c r="A44" s="1" t="str">
        <f>IFERROR(__xludf.DUMMYFUNCTION("""COMPUTED_VALUE"""),"Слитное и раздельное написание союзов")</f>
        <v>Слитное и раздельное написание союзов</v>
      </c>
      <c r="B44" s="1">
        <f>IFERROR(__xludf.DUMMYFUNCTION("""COMPUTED_VALUE"""),71.0)</f>
        <v>71</v>
      </c>
      <c r="C44" s="1" t="str">
        <f>IFERROR(__xludf.DUMMYFUNCTION("""COMPUTED_VALUE"""),"Запятая в сложносочинённом предложении (синтаксический анализ)")</f>
        <v>Запятая в сложносочинённом предложении (синтаксический анализ)</v>
      </c>
      <c r="D44" s="1">
        <f>IFERROR(__xludf.DUMMYFUNCTION("""COMPUTED_VALUE"""),177.0)</f>
        <v>177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 t="str">
        <f>IFERROR(__xludf.DUMMYFUNCTION("""COMPUTED_VALUE"""),"Публицистический стиль речи")</f>
        <v>Публицистический стиль речи</v>
      </c>
      <c r="R44" s="1">
        <f>IFERROR(__xludf.DUMMYFUNCTION("""COMPUTED_VALUE"""),848.0)</f>
        <v>848</v>
      </c>
      <c r="S44" s="1"/>
      <c r="T44" s="1"/>
      <c r="U44" s="1"/>
      <c r="V44" s="1"/>
      <c r="W44" s="1"/>
      <c r="X44" s="1"/>
      <c r="Y44" s="1"/>
      <c r="Z44" s="1"/>
    </row>
    <row r="45">
      <c r="A45" s="1" t="str">
        <f>IFERROR(__xludf.DUMMYFUNCTION("""COMPUTED_VALUE"""),"Слитное и раздельное написание производных предлогов")</f>
        <v>Слитное и раздельное написание производных предлогов</v>
      </c>
      <c r="B45" s="1">
        <f>IFERROR(__xludf.DUMMYFUNCTION("""COMPUTED_VALUE"""),72.0)</f>
        <v>72</v>
      </c>
      <c r="C45" s="1" t="str">
        <f>IFERROR(__xludf.DUMMYFUNCTION("""COMPUTED_VALUE"""),"Запятая в бессоюзном сложном предложении (синтаксический анализ)")</f>
        <v>Запятая в бессоюзном сложном предложении (синтаксический анализ)</v>
      </c>
      <c r="D45" s="1">
        <f>IFERROR(__xludf.DUMMYFUNCTION("""COMPUTED_VALUE"""),178.0)</f>
        <v>178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 t="str">
        <f>IFERROR(__xludf.DUMMYFUNCTION("""COMPUTED_VALUE"""),"Антонимы (в том числе контекстные)")</f>
        <v>Антонимы (в том числе контекстные)</v>
      </c>
      <c r="R45" s="1">
        <f>IFERROR(__xludf.DUMMYFUNCTION("""COMPUTED_VALUE"""),849.0)</f>
        <v>849</v>
      </c>
      <c r="S45" s="1"/>
      <c r="T45" s="1"/>
      <c r="U45" s="1"/>
      <c r="V45" s="1"/>
      <c r="W45" s="1"/>
      <c r="X45" s="1"/>
      <c r="Y45" s="1"/>
      <c r="Z45" s="1"/>
    </row>
    <row r="46">
      <c r="A46" s="1" t="str">
        <f>IFERROR(__xludf.DUMMYFUNCTION("""COMPUTED_VALUE"""),"Слитное и раздельное написание наречий")</f>
        <v>Слитное и раздельное написание наречий</v>
      </c>
      <c r="B46" s="1">
        <f>IFERROR(__xludf.DUMMYFUNCTION("""COMPUTED_VALUE"""),73.0)</f>
        <v>73</v>
      </c>
      <c r="C46" s="1" t="str">
        <f>IFERROR(__xludf.DUMMYFUNCTION("""COMPUTED_VALUE"""),"Запятая в предложении с обособленными определениями (синтаксический анализ)")</f>
        <v>Запятая в предложении с обособленными определениями (синтаксический анализ)</v>
      </c>
      <c r="D46" s="1">
        <f>IFERROR(__xludf.DUMMYFUNCTION("""COMPUTED_VALUE"""),179.0)</f>
        <v>179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 t="str">
        <f>IFERROR(__xludf.DUMMYFUNCTION("""COMPUTED_VALUE"""),"Синонимы (в том числе контекстные)")</f>
        <v>Синонимы (в том числе контекстные)</v>
      </c>
      <c r="R46" s="1">
        <f>IFERROR(__xludf.DUMMYFUNCTION("""COMPUTED_VALUE"""),850.0)</f>
        <v>850</v>
      </c>
      <c r="S46" s="1"/>
      <c r="T46" s="1"/>
      <c r="U46" s="1"/>
      <c r="V46" s="1"/>
      <c r="W46" s="1"/>
      <c r="X46" s="1"/>
      <c r="Y46" s="1"/>
      <c r="Z46" s="1"/>
    </row>
    <row r="47">
      <c r="A47" s="1" t="str">
        <f>IFERROR(__xludf.DUMMYFUNCTION("""COMPUTED_VALUE"""),"Раздельное написание частиц")</f>
        <v>Раздельное написание частиц</v>
      </c>
      <c r="B47" s="1">
        <f>IFERROR(__xludf.DUMMYFUNCTION("""COMPUTED_VALUE"""),74.0)</f>
        <v>74</v>
      </c>
      <c r="C47" s="1" t="str">
        <f>IFERROR(__xludf.DUMMYFUNCTION("""COMPUTED_VALUE"""),"Запятая в предложении с обособленными обстоятельствами (синтаксический анализ)")</f>
        <v>Запятая в предложении с обособленными обстоятельствами (синтаксический анализ)</v>
      </c>
      <c r="D47" s="1">
        <f>IFERROR(__xludf.DUMMYFUNCTION("""COMPUTED_VALUE"""),180.0)</f>
        <v>180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 t="str">
        <f>IFERROR(__xludf.DUMMYFUNCTION("""COMPUTED_VALUE"""),"Книжная лексика")</f>
        <v>Книжная лексика</v>
      </c>
      <c r="R47" s="1">
        <f>IFERROR(__xludf.DUMMYFUNCTION("""COMPUTED_VALUE"""),851.0)</f>
        <v>851</v>
      </c>
      <c r="S47" s="1"/>
      <c r="T47" s="1"/>
      <c r="U47" s="1"/>
      <c r="V47" s="1"/>
      <c r="W47" s="1"/>
      <c r="X47" s="1"/>
      <c r="Y47" s="1"/>
      <c r="Z47" s="1"/>
    </row>
    <row r="48">
      <c r="A48" s="1" t="str">
        <f>IFERROR(__xludf.DUMMYFUNCTION("""COMPUTED_VALUE"""),"Правописание слов с частью ПОЛ- и ПОЛУ-")</f>
        <v>Правописание слов с частью ПОЛ- и ПОЛУ-</v>
      </c>
      <c r="B48" s="1">
        <f>IFERROR(__xludf.DUMMYFUNCTION("""COMPUTED_VALUE"""),75.0)</f>
        <v>75</v>
      </c>
      <c r="C48" s="1" t="str">
        <f>IFERROR(__xludf.DUMMYFUNCTION("""COMPUTED_VALUE"""),"Запятая в предложении с обособленными приложениями (синтаксический анализ)")</f>
        <v>Запятая в предложении с обособленными приложениями (синтаксический анализ)</v>
      </c>
      <c r="D48" s="1">
        <f>IFERROR(__xludf.DUMMYFUNCTION("""COMPUTED_VALUE"""),181.0)</f>
        <v>181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 t="str">
        <f>IFERROR(__xludf.DUMMYFUNCTION("""COMPUTED_VALUE"""),"Разговорная лексика")</f>
        <v>Разговорная лексика</v>
      </c>
      <c r="R48" s="1">
        <f>IFERROR(__xludf.DUMMYFUNCTION("""COMPUTED_VALUE"""),852.0)</f>
        <v>852</v>
      </c>
      <c r="S48" s="1"/>
      <c r="T48" s="1"/>
      <c r="U48" s="1"/>
      <c r="V48" s="1"/>
      <c r="W48" s="1"/>
      <c r="X48" s="1"/>
      <c r="Y48" s="1"/>
      <c r="Z48" s="1"/>
    </row>
    <row r="49">
      <c r="A49" s="1" t="str">
        <f>IFERROR(__xludf.DUMMYFUNCTION("""COMPUTED_VALUE"""),"Правописание -Н- и -НН- в суффиксах отымённых прилагательных -ИН-/-АН-/-ЯН-")</f>
        <v>Правописание -Н- и -НН- в суффиксах отымённых прилагательных -ИН-/-АН-/-ЯН-</v>
      </c>
      <c r="B49" s="1">
        <f>IFERROR(__xludf.DUMMYFUNCTION("""COMPUTED_VALUE"""),78.0)</f>
        <v>78</v>
      </c>
      <c r="C49" s="1" t="str">
        <f>IFERROR(__xludf.DUMMYFUNCTION("""COMPUTED_VALUE"""),"Запятая в предложении с уточняющими членами (синтаксический анализ)")</f>
        <v>Запятая в предложении с уточняющими членами (синтаксический анализ)</v>
      </c>
      <c r="D49" s="1">
        <f>IFERROR(__xludf.DUMMYFUNCTION("""COMPUTED_VALUE"""),182.0)</f>
        <v>182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 t="str">
        <f>IFERROR(__xludf.DUMMYFUNCTION("""COMPUTED_VALUE"""),"Просторечная лексика")</f>
        <v>Просторечная лексика</v>
      </c>
      <c r="R49" s="1">
        <f>IFERROR(__xludf.DUMMYFUNCTION("""COMPUTED_VALUE"""),853.0)</f>
        <v>853</v>
      </c>
      <c r="S49" s="1"/>
      <c r="T49" s="1"/>
      <c r="U49" s="1"/>
      <c r="V49" s="1"/>
      <c r="W49" s="1"/>
      <c r="X49" s="1"/>
      <c r="Y49" s="1"/>
      <c r="Z49" s="1"/>
    </row>
    <row r="50">
      <c r="A50" s="1" t="str">
        <f>IFERROR(__xludf.DUMMYFUNCTION("""COMPUTED_VALUE"""),"Правописание -Н- и -НН- в суффиксах отымённых прилагательных -ЕНН-/-ОНН-")</f>
        <v>Правописание -Н- и -НН- в суффиксах отымённых прилагательных -ЕНН-/-ОНН-</v>
      </c>
      <c r="B50" s="1">
        <f>IFERROR(__xludf.DUMMYFUNCTION("""COMPUTED_VALUE"""),79.0)</f>
        <v>79</v>
      </c>
      <c r="C50" s="1" t="str">
        <f>IFERROR(__xludf.DUMMYFUNCTION("""COMPUTED_VALUE"""),"Запятая в предложении с вводными и вставными конструкциями (синтаксический анализ)")</f>
        <v>Запятая в предложении с вводными и вставными конструкциями (синтаксический анализ)</v>
      </c>
      <c r="D50" s="1">
        <f>IFERROR(__xludf.DUMMYFUNCTION("""COMPUTED_VALUE"""),183.0)</f>
        <v>183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 t="str">
        <f>IFERROR(__xludf.DUMMYFUNCTION("""COMPUTED_VALUE"""),"Диалектизмы")</f>
        <v>Диалектизмы</v>
      </c>
      <c r="R50" s="1">
        <f>IFERROR(__xludf.DUMMYFUNCTION("""COMPUTED_VALUE"""),854.0)</f>
        <v>854</v>
      </c>
      <c r="S50" s="1"/>
      <c r="T50" s="1"/>
      <c r="U50" s="1"/>
      <c r="V50" s="1"/>
      <c r="W50" s="1"/>
      <c r="X50" s="1"/>
      <c r="Y50" s="1"/>
      <c r="Z50" s="1"/>
    </row>
    <row r="51">
      <c r="A51" s="1" t="str">
        <f>IFERROR(__xludf.DUMMYFUNCTION("""COMPUTED_VALUE"""),"Правописание -Н- и -НН- в суффиксах отымённых прилагательных на стыке морфем")</f>
        <v>Правописание -Н- и -НН- в суффиксах отымённых прилагательных на стыке морфем</v>
      </c>
      <c r="B51" s="1">
        <f>IFERROR(__xludf.DUMMYFUNCTION("""COMPUTED_VALUE"""),80.0)</f>
        <v>80</v>
      </c>
      <c r="C51" s="1" t="str">
        <f>IFERROR(__xludf.DUMMYFUNCTION("""COMPUTED_VALUE"""),"Запятая в предложении с обращениями (синтаксический анализ)")</f>
        <v>Запятая в предложении с обращениями (синтаксический анализ)</v>
      </c>
      <c r="D51" s="1">
        <f>IFERROR(__xludf.DUMMYFUNCTION("""COMPUTED_VALUE"""),184.0)</f>
        <v>184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 t="str">
        <f>IFERROR(__xludf.DUMMYFUNCTION("""COMPUTED_VALUE"""),"Жаргонизмы")</f>
        <v>Жаргонизмы</v>
      </c>
      <c r="R51" s="1">
        <f>IFERROR(__xludf.DUMMYFUNCTION("""COMPUTED_VALUE"""),855.0)</f>
        <v>855</v>
      </c>
      <c r="S51" s="1"/>
      <c r="T51" s="1"/>
      <c r="U51" s="1"/>
      <c r="V51" s="1"/>
      <c r="W51" s="1"/>
      <c r="X51" s="1"/>
      <c r="Y51" s="1"/>
      <c r="Z51" s="1"/>
    </row>
    <row r="52">
      <c r="A52" s="1" t="str">
        <f>IFERROR(__xludf.DUMMYFUNCTION("""COMPUTED_VALUE"""),"Правописание -Н- и -НН- в отглагольных прилагательных и причастиях")</f>
        <v>Правописание -Н- и -НН- в отглагольных прилагательных и причастиях</v>
      </c>
      <c r="B52" s="1">
        <f>IFERROR(__xludf.DUMMYFUNCTION("""COMPUTED_VALUE"""),82.0)</f>
        <v>82</v>
      </c>
      <c r="C52" s="1" t="str">
        <f>IFERROR(__xludf.DUMMYFUNCTION("""COMPUTED_VALUE"""),"Запятая в предложении с междометиями (синтаксический анализ)")</f>
        <v>Запятая в предложении с междометиями (синтаксический анализ)</v>
      </c>
      <c r="D52" s="1">
        <f>IFERROR(__xludf.DUMMYFUNCTION("""COMPUTED_VALUE"""),185.0)</f>
        <v>185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 t="str">
        <f>IFERROR(__xludf.DUMMYFUNCTION("""COMPUTED_VALUE"""),"Профессионализмы")</f>
        <v>Профессионализмы</v>
      </c>
      <c r="R52" s="1">
        <f>IFERROR(__xludf.DUMMYFUNCTION("""COMPUTED_VALUE"""),856.0)</f>
        <v>856</v>
      </c>
      <c r="S52" s="1"/>
      <c r="T52" s="1"/>
      <c r="U52" s="1"/>
      <c r="V52" s="1"/>
      <c r="W52" s="1"/>
      <c r="X52" s="1"/>
      <c r="Y52" s="1"/>
      <c r="Z52" s="1"/>
    </row>
    <row r="53">
      <c r="A53" s="1" t="str">
        <f>IFERROR(__xludf.DUMMYFUNCTION("""COMPUTED_VALUE"""),"Правописание -НН- в кратких отглагольных прилагательных")</f>
        <v>Правописание -НН- в кратких отглагольных прилагательных</v>
      </c>
      <c r="B53" s="1">
        <f>IFERROR(__xludf.DUMMYFUNCTION("""COMPUTED_VALUE"""),83.0)</f>
        <v>83</v>
      </c>
      <c r="C53" s="1" t="str">
        <f>IFERROR(__xludf.DUMMYFUNCTION("""COMPUTED_VALUE"""),"Запятая в сложноподчинённом предложении (синтаксический анализ)")</f>
        <v>Запятая в сложноподчинённом предложении (синтаксический анализ)</v>
      </c>
      <c r="D53" s="1">
        <f>IFERROR(__xludf.DUMMYFUNCTION("""COMPUTED_VALUE"""),186.0)</f>
        <v>186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 t="str">
        <f>IFERROR(__xludf.DUMMYFUNCTION("""COMPUTED_VALUE"""),"Термины")</f>
        <v>Термины</v>
      </c>
      <c r="R53" s="1">
        <f>IFERROR(__xludf.DUMMYFUNCTION("""COMPUTED_VALUE"""),857.0)</f>
        <v>857</v>
      </c>
      <c r="S53" s="1"/>
      <c r="T53" s="1"/>
      <c r="U53" s="1"/>
      <c r="V53" s="1"/>
      <c r="W53" s="1"/>
      <c r="X53" s="1"/>
      <c r="Y53" s="1"/>
      <c r="Z53" s="1"/>
    </row>
    <row r="54">
      <c r="A54" s="1" t="str">
        <f>IFERROR(__xludf.DUMMYFUNCTION("""COMPUTED_VALUE"""),"Употребление гласных букв А/Я, У/Ю после шипящих и Ц")</f>
        <v>Употребление гласных букв А/Я, У/Ю после шипящих и Ц</v>
      </c>
      <c r="B54" s="1">
        <f>IFERROR(__xludf.DUMMYFUNCTION("""COMPUTED_VALUE"""),85.0)</f>
        <v>85</v>
      </c>
      <c r="C54" s="1" t="str">
        <f>IFERROR(__xludf.DUMMYFUNCTION("""COMPUTED_VALUE"""),"Пунктуация в простом предложении с однородными членами, соединёнными попарно")</f>
        <v>Пунктуация в простом предложении с однородными членами, соединёнными попарно</v>
      </c>
      <c r="D54" s="1">
        <f>IFERROR(__xludf.DUMMYFUNCTION("""COMPUTED_VALUE"""),188.0)</f>
        <v>188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 t="str">
        <f>IFERROR(__xludf.DUMMYFUNCTION("""COMPUTED_VALUE"""),"Архаизмы")</f>
        <v>Архаизмы</v>
      </c>
      <c r="R54" s="1">
        <f>IFERROR(__xludf.DUMMYFUNCTION("""COMPUTED_VALUE"""),858.0)</f>
        <v>858</v>
      </c>
      <c r="S54" s="1"/>
      <c r="T54" s="1"/>
      <c r="U54" s="1"/>
      <c r="V54" s="1"/>
      <c r="W54" s="1"/>
      <c r="X54" s="1"/>
      <c r="Y54" s="1"/>
      <c r="Z54" s="1"/>
    </row>
    <row r="55">
      <c r="A55" s="1" t="str">
        <f>IFERROR(__xludf.DUMMYFUNCTION("""COMPUTED_VALUE"""),"Гласные в приставках ПРО-/ПРА-")</f>
        <v>Гласные в приставках ПРО-/ПРА-</v>
      </c>
      <c r="B55" s="1">
        <f>IFERROR(__xludf.DUMMYFUNCTION("""COMPUTED_VALUE"""),86.0)</f>
        <v>86</v>
      </c>
      <c r="C55" s="1" t="str">
        <f>IFERROR(__xludf.DUMMYFUNCTION("""COMPUTED_VALUE"""),"Пунктуация в простом предложении с однородными членами, связанными противительным союзом")</f>
        <v>Пунктуация в простом предложении с однородными членами, связанными противительным союзом</v>
      </c>
      <c r="D55" s="1">
        <f>IFERROR(__xludf.DUMMYFUNCTION("""COMPUTED_VALUE"""),189.0)</f>
        <v>189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 t="str">
        <f>IFERROR(__xludf.DUMMYFUNCTION("""COMPUTED_VALUE"""),"Историзмы")</f>
        <v>Историзмы</v>
      </c>
      <c r="R55" s="1">
        <f>IFERROR(__xludf.DUMMYFUNCTION("""COMPUTED_VALUE"""),859.0)</f>
        <v>859</v>
      </c>
      <c r="S55" s="1"/>
      <c r="T55" s="1"/>
      <c r="U55" s="1"/>
      <c r="V55" s="1"/>
      <c r="W55" s="1"/>
      <c r="X55" s="1"/>
      <c r="Y55" s="1"/>
      <c r="Z55" s="1"/>
    </row>
    <row r="56">
      <c r="A56" s="1" t="str">
        <f>IFERROR(__xludf.DUMMYFUNCTION("""COMPUTED_VALUE"""),"Суффиксы глаголов -ОВА(ЕВА)-/-ЫВА(ИВА)-")</f>
        <v>Суффиксы глаголов -ОВА(ЕВА)-/-ЫВА(ИВА)-</v>
      </c>
      <c r="B56" s="1">
        <f>IFERROR(__xludf.DUMMYFUNCTION("""COMPUTED_VALUE"""),87.0)</f>
        <v>87</v>
      </c>
      <c r="C56" s="1" t="str">
        <f>IFERROR(__xludf.DUMMYFUNCTION("""COMPUTED_VALUE"""),"Тире в предложении с обособленными приложениями")</f>
        <v>Тире в предложении с обособленными приложениями</v>
      </c>
      <c r="D56" s="1">
        <f>IFERROR(__xludf.DUMMYFUNCTION("""COMPUTED_VALUE"""),191.0)</f>
        <v>191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 t="str">
        <f>IFERROR(__xludf.DUMMYFUNCTION("""COMPUTED_VALUE"""),"Неологизмы")</f>
        <v>Неологизмы</v>
      </c>
      <c r="R56" s="1">
        <f>IFERROR(__xludf.DUMMYFUNCTION("""COMPUTED_VALUE"""),860.0)</f>
        <v>860</v>
      </c>
      <c r="S56" s="1"/>
      <c r="T56" s="1"/>
      <c r="U56" s="1"/>
      <c r="V56" s="1"/>
      <c r="W56" s="1"/>
      <c r="X56" s="1"/>
      <c r="Y56" s="1"/>
      <c r="Z56" s="1"/>
    </row>
    <row r="57">
      <c r="A57" s="1" t="str">
        <f>IFERROR(__xludf.DUMMYFUNCTION("""COMPUTED_VALUE"""),"Ь на конце слов после шипящих")</f>
        <v>Ь на конце слов после шипящих</v>
      </c>
      <c r="B57" s="1">
        <f>IFERROR(__xludf.DUMMYFUNCTION("""COMPUTED_VALUE"""),90.0)</f>
        <v>90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 t="str">
        <f>IFERROR(__xludf.DUMMYFUNCTION("""COMPUTED_VALUE"""),"Фразеологизмы")</f>
        <v>Фразеологизмы</v>
      </c>
      <c r="R57" s="1">
        <f>IFERROR(__xludf.DUMMYFUNCTION("""COMPUTED_VALUE"""),861.0)</f>
        <v>861</v>
      </c>
      <c r="S57" s="1"/>
      <c r="T57" s="1"/>
      <c r="U57" s="1"/>
      <c r="V57" s="1"/>
      <c r="W57" s="1"/>
      <c r="X57" s="1"/>
      <c r="Y57" s="1"/>
      <c r="Z57" s="1"/>
    </row>
    <row r="58">
      <c r="A58" s="1" t="str">
        <f>IFERROR(__xludf.DUMMYFUNCTION("""COMPUTED_VALUE"""),"Ь в сочетаниях согласных")</f>
        <v>Ь в сочетаниях согласных</v>
      </c>
      <c r="B58" s="1">
        <f>IFERROR(__xludf.DUMMYFUNCTION("""COMPUTED_VALUE"""),93.0)</f>
        <v>93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 t="str">
        <f>IFERROR(__xludf.DUMMYFUNCTION("""COMPUTED_VALUE"""),"Эмоционально-оценочная лексика")</f>
        <v>Эмоционально-оценочная лексика</v>
      </c>
      <c r="R58" s="1">
        <f>IFERROR(__xludf.DUMMYFUNCTION("""COMPUTED_VALUE"""),862.0)</f>
        <v>862</v>
      </c>
      <c r="S58" s="1"/>
      <c r="T58" s="1"/>
      <c r="U58" s="1"/>
      <c r="V58" s="1"/>
      <c r="W58" s="1"/>
      <c r="X58" s="1"/>
      <c r="Y58" s="1"/>
      <c r="Z58" s="1"/>
    </row>
    <row r="59">
      <c r="A59" s="1" t="str">
        <f>IFERROR(__xludf.DUMMYFUNCTION("""COMPUTED_VALUE"""),"Ь в инфинитиве глагола")</f>
        <v>Ь в инфинитиве глагола</v>
      </c>
      <c r="B59" s="1">
        <f>IFERROR(__xludf.DUMMYFUNCTION("""COMPUTED_VALUE"""),94.0)</f>
        <v>94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 t="str">
        <f>IFERROR(__xludf.DUMMYFUNCTION("""COMPUTED_VALUE"""),"Вводные и вставные конструкции")</f>
        <v>Вводные и вставные конструкции</v>
      </c>
      <c r="R59" s="1">
        <f>IFERROR(__xludf.DUMMYFUNCTION("""COMPUTED_VALUE"""),863.0)</f>
        <v>863</v>
      </c>
      <c r="S59" s="1"/>
      <c r="T59" s="1"/>
      <c r="U59" s="1"/>
      <c r="V59" s="1"/>
      <c r="W59" s="1"/>
      <c r="X59" s="1"/>
      <c r="Y59" s="1"/>
      <c r="Z59" s="1"/>
    </row>
    <row r="60">
      <c r="A60" s="1" t="str">
        <f>IFERROR(__xludf.DUMMYFUNCTION("""COMPUTED_VALUE"""),"Правописание Ь в глаголах повелительного наклонения")</f>
        <v>Правописание Ь в глаголах повелительного наклонения</v>
      </c>
      <c r="B60" s="1">
        <f>IFERROR(__xludf.DUMMYFUNCTION("""COMPUTED_VALUE"""),95.0)</f>
        <v>95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 t="str">
        <f>IFERROR(__xludf.DUMMYFUNCTION("""COMPUTED_VALUE"""),"Восклицательные предложения")</f>
        <v>Восклицательные предложения</v>
      </c>
      <c r="R60" s="1">
        <f>IFERROR(__xludf.DUMMYFUNCTION("""COMPUTED_VALUE"""),864.0)</f>
        <v>864</v>
      </c>
      <c r="S60" s="1"/>
      <c r="T60" s="1"/>
      <c r="U60" s="1"/>
      <c r="V60" s="1"/>
      <c r="W60" s="1"/>
      <c r="X60" s="1"/>
      <c r="Y60" s="1"/>
      <c r="Z60" s="1"/>
    </row>
    <row r="61">
      <c r="A61" s="1" t="str">
        <f>IFERROR(__xludf.DUMMYFUNCTION("""COMPUTED_VALUE"""),"Правописание слов с соединительными гласными -О-/-Е-")</f>
        <v>Правописание слов с соединительными гласными -О-/-Е-</v>
      </c>
      <c r="B61" s="1">
        <f>IFERROR(__xludf.DUMMYFUNCTION("""COMPUTED_VALUE"""),98.0)</f>
        <v>98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 t="str">
        <f>IFERROR(__xludf.DUMMYFUNCTION("""COMPUTED_VALUE"""),"Вопросительные предложения")</f>
        <v>Вопросительные предложения</v>
      </c>
      <c r="R61" s="1">
        <f>IFERROR(__xludf.DUMMYFUNCTION("""COMPUTED_VALUE"""),865.0)</f>
        <v>865</v>
      </c>
      <c r="S61" s="1"/>
      <c r="T61" s="1"/>
      <c r="U61" s="1"/>
      <c r="V61" s="1"/>
      <c r="W61" s="1"/>
      <c r="X61" s="1"/>
      <c r="Y61" s="1"/>
      <c r="Z61" s="1"/>
    </row>
    <row r="62">
      <c r="A62" s="1" t="str">
        <f>IFERROR(__xludf.DUMMYFUNCTION("""COMPUTED_VALUE"""),"Слитное и раздельное написание вводных слов, существительных, местоимений, прилагательных, числительных и омонимичных конструкций")</f>
        <v>Слитное и раздельное написание вводных слов, существительных, местоимений, прилагательных, числительных и омонимичных конструкций</v>
      </c>
      <c r="B62" s="1">
        <f>IFERROR(__xludf.DUMMYFUNCTION("""COMPUTED_VALUE"""),99.0)</f>
        <v>99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 t="str">
        <f>IFERROR(__xludf.DUMMYFUNCTION("""COMPUTED_VALUE"""),"Риторическое восклицание")</f>
        <v>Риторическое восклицание</v>
      </c>
      <c r="R62" s="1">
        <f>IFERROR(__xludf.DUMMYFUNCTION("""COMPUTED_VALUE"""),866.0)</f>
        <v>866</v>
      </c>
      <c r="S62" s="1"/>
      <c r="T62" s="1"/>
      <c r="U62" s="1"/>
      <c r="V62" s="1"/>
      <c r="W62" s="1"/>
      <c r="X62" s="1"/>
      <c r="Y62" s="1"/>
      <c r="Z62" s="1"/>
    </row>
    <row r="63">
      <c r="A63" s="1" t="str">
        <f>IFERROR(__xludf.DUMMYFUNCTION("""COMPUTED_VALUE"""),"Правописание -НН- в кратких отглагольных прилагательных")</f>
        <v>Правописание -НН- в кратких отглагольных прилагательных</v>
      </c>
      <c r="B63" s="1">
        <f>IFERROR(__xludf.DUMMYFUNCTION("""COMPUTED_VALUE"""),1101.0)</f>
        <v>1101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 t="str">
        <f>IFERROR(__xludf.DUMMYFUNCTION("""COMPUTED_VALUE"""),"Риторический вопрос")</f>
        <v>Риторический вопрос</v>
      </c>
      <c r="R63" s="1">
        <f>IFERROR(__xludf.DUMMYFUNCTION("""COMPUTED_VALUE"""),867.0)</f>
        <v>867</v>
      </c>
      <c r="S63" s="1"/>
      <c r="T63" s="1"/>
      <c r="U63" s="1"/>
      <c r="V63" s="1"/>
      <c r="W63" s="1"/>
      <c r="X63" s="1"/>
      <c r="Y63" s="1"/>
      <c r="Z63" s="1"/>
    </row>
    <row r="64">
      <c r="A64" s="1" t="str">
        <f>IFERROR(__xludf.DUMMYFUNCTION("""COMPUTED_VALUE"""),"Суффикс существительных ЁР")</f>
        <v>Суффикс существительных ЁР</v>
      </c>
      <c r="B64" s="1">
        <f>IFERROR(__xludf.DUMMYFUNCTION("""COMPUTED_VALUE"""),1102.0)</f>
        <v>1102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 t="str">
        <f>IFERROR(__xludf.DUMMYFUNCTION("""COMPUTED_VALUE"""),"Односоставное предложение")</f>
        <v>Односоставное предложение</v>
      </c>
      <c r="R64" s="1">
        <f>IFERROR(__xludf.DUMMYFUNCTION("""COMPUTED_VALUE"""),868.0)</f>
        <v>868</v>
      </c>
      <c r="S64" s="1"/>
      <c r="T64" s="1"/>
      <c r="U64" s="1"/>
      <c r="V64" s="1"/>
      <c r="W64" s="1"/>
      <c r="X64" s="1"/>
      <c r="Y64" s="1"/>
      <c r="Z64" s="1"/>
    </row>
    <row r="65">
      <c r="A65" s="1" t="str">
        <f>IFERROR(__xludf.DUMMYFUNCTION("""COMPUTED_VALUE"""),"Гласные О и Ё после шипящих в суффиксах отымённых и отглагольных существительных")</f>
        <v>Гласные О и Ё после шипящих в суффиксах отымённых и отглагольных существительных</v>
      </c>
      <c r="B65" s="1">
        <f>IFERROR(__xludf.DUMMYFUNCTION("""COMPUTED_VALUE"""),1103.0)</f>
        <v>1103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 t="str">
        <f>IFERROR(__xludf.DUMMYFUNCTION("""COMPUTED_VALUE"""),"Неполное предложение")</f>
        <v>Неполное предложение</v>
      </c>
      <c r="R65" s="1">
        <f>IFERROR(__xludf.DUMMYFUNCTION("""COMPUTED_VALUE"""),869.0)</f>
        <v>869</v>
      </c>
      <c r="S65" s="1"/>
      <c r="T65" s="1"/>
      <c r="U65" s="1"/>
      <c r="V65" s="1"/>
      <c r="W65" s="1"/>
      <c r="X65" s="1"/>
      <c r="Y65" s="1"/>
      <c r="Z65" s="1"/>
    </row>
    <row r="66">
      <c r="A66" s="1" t="str">
        <f>IFERROR(__xludf.DUMMYFUNCTION("""COMPUTED_VALUE"""),"Глагольные суффиксы в причастиях и деепричастиях")</f>
        <v>Глагольные суффиксы в причастиях и деепричастиях</v>
      </c>
      <c r="B66" s="1">
        <f>IFERROR(__xludf.DUMMYFUNCTION("""COMPUTED_VALUE"""),1104.0)</f>
        <v>1104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 t="str">
        <f>IFERROR(__xludf.DUMMYFUNCTION("""COMPUTED_VALUE"""),"Ряд однородных членов предложения")</f>
        <v>Ряд однородных членов предложения</v>
      </c>
      <c r="R66" s="1">
        <f>IFERROR(__xludf.DUMMYFUNCTION("""COMPUTED_VALUE"""),870.0)</f>
        <v>870</v>
      </c>
      <c r="S66" s="1"/>
      <c r="T66" s="1"/>
      <c r="U66" s="1"/>
      <c r="V66" s="1"/>
      <c r="W66" s="1"/>
      <c r="X66" s="1"/>
      <c r="Y66" s="1"/>
      <c r="Z66" s="1"/>
    </row>
    <row r="67">
      <c r="A67" s="1" t="str">
        <f>IFERROR(__xludf.DUMMYFUNCTION("""COMPUTED_VALUE"""),"Ударная буква Ё в суффиксе глагола после шипящих")</f>
        <v>Ударная буква Ё в суффиксе глагола после шипящих</v>
      </c>
      <c r="B67" s="1">
        <f>IFERROR(__xludf.DUMMYFUNCTION("""COMPUTED_VALUE"""),1105.0)</f>
        <v>1105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 t="str">
        <f>IFERROR(__xludf.DUMMYFUNCTION("""COMPUTED_VALUE"""),"Обособленные члены предложения")</f>
        <v>Обособленные члены предложения</v>
      </c>
      <c r="R67" s="1">
        <f>IFERROR(__xludf.DUMMYFUNCTION("""COMPUTED_VALUE"""),871.0)</f>
        <v>871</v>
      </c>
      <c r="S67" s="1"/>
      <c r="T67" s="1"/>
      <c r="U67" s="1"/>
      <c r="V67" s="1"/>
      <c r="W67" s="1"/>
      <c r="X67" s="1"/>
      <c r="Y67" s="1"/>
      <c r="Z67" s="1"/>
    </row>
    <row r="68">
      <c r="A68" s="1" t="str">
        <f>IFERROR(__xludf.DUMMYFUNCTION("""COMPUTED_VALUE"""),"Суффиксы прилагательных -ЧЕСК-/-ИЧЕСК-")</f>
        <v>Суффиксы прилагательных -ЧЕСК-/-ИЧЕСК-</v>
      </c>
      <c r="B68" s="1">
        <f>IFERROR(__xludf.DUMMYFUNCTION("""COMPUTED_VALUE"""),1106.0)</f>
        <v>1106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 t="str">
        <f>IFERROR(__xludf.DUMMYFUNCTION("""COMPUTED_VALUE"""),"Сравнительный оборот")</f>
        <v>Сравнительный оборот</v>
      </c>
      <c r="R68" s="1">
        <f>IFERROR(__xludf.DUMMYFUNCTION("""COMPUTED_VALUE"""),872.0)</f>
        <v>872</v>
      </c>
      <c r="S68" s="1"/>
      <c r="T68" s="1"/>
      <c r="U68" s="1"/>
      <c r="V68" s="1"/>
      <c r="W68" s="1"/>
      <c r="X68" s="1"/>
      <c r="Y68" s="1"/>
      <c r="Z68" s="1"/>
    </row>
    <row r="69">
      <c r="A69" s="1" t="str">
        <f>IFERROR(__xludf.DUMMYFUNCTION("""COMPUTED_VALUE"""),"Суффиксы прилагательных -ИЧ-/-ЕЧ-")</f>
        <v>Суффиксы прилагательных -ИЧ-/-ЕЧ-</v>
      </c>
      <c r="B69" s="1">
        <f>IFERROR(__xludf.DUMMYFUNCTION("""COMPUTED_VALUE"""),1107.0)</f>
        <v>1107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 t="str">
        <f>IFERROR(__xludf.DUMMYFUNCTION("""COMPUTED_VALUE"""),"Обращение")</f>
        <v>Обращение</v>
      </c>
      <c r="R69" s="1">
        <f>IFERROR(__xludf.DUMMYFUNCTION("""COMPUTED_VALUE"""),873.0)</f>
        <v>873</v>
      </c>
      <c r="S69" s="1"/>
      <c r="T69" s="1"/>
      <c r="U69" s="1"/>
      <c r="V69" s="1"/>
      <c r="W69" s="1"/>
      <c r="X69" s="1"/>
      <c r="Y69" s="1"/>
      <c r="Z69" s="1"/>
    </row>
    <row r="70">
      <c r="A70" s="1" t="str">
        <f>IFERROR(__xludf.DUMMYFUNCTION("""COMPUTED_VALUE"""),"Гласная перед Н и НН в отымённых прилагательных")</f>
        <v>Гласная перед Н и НН в отымённых прилагательных</v>
      </c>
      <c r="B70" s="1">
        <f>IFERROR(__xludf.DUMMYFUNCTION("""COMPUTED_VALUE"""),1108.0)</f>
        <v>1108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 t="str">
        <f>IFERROR(__xludf.DUMMYFUNCTION("""COMPUTED_VALUE"""),"Авторские знаки препинания")</f>
        <v>Авторские знаки препинания</v>
      </c>
      <c r="R70" s="1">
        <f>IFERROR(__xludf.DUMMYFUNCTION("""COMPUTED_VALUE"""),874.0)</f>
        <v>874</v>
      </c>
      <c r="S70" s="1"/>
      <c r="T70" s="1"/>
      <c r="U70" s="1"/>
      <c r="V70" s="1"/>
      <c r="W70" s="1"/>
      <c r="X70" s="1"/>
      <c r="Y70" s="1"/>
      <c r="Z70" s="1"/>
    </row>
    <row r="71">
      <c r="A71" s="1" t="str">
        <f>IFERROR(__xludf.DUMMYFUNCTION("""COMPUTED_VALUE"""),"Суффиксы наречий")</f>
        <v>Суффиксы наречий</v>
      </c>
      <c r="B71" s="1">
        <f>IFERROR(__xludf.DUMMYFUNCTION("""COMPUTED_VALUE"""),1109.0)</f>
        <v>1109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 t="str">
        <f>IFERROR(__xludf.DUMMYFUNCTION("""COMPUTED_VALUE"""),"Анафора")</f>
        <v>Анафора</v>
      </c>
      <c r="R71" s="1">
        <f>IFERROR(__xludf.DUMMYFUNCTION("""COMPUTED_VALUE"""),875.0)</f>
        <v>875</v>
      </c>
      <c r="S71" s="1"/>
      <c r="T71" s="1"/>
      <c r="U71" s="1"/>
      <c r="V71" s="1"/>
      <c r="W71" s="1"/>
      <c r="X71" s="1"/>
      <c r="Y71" s="1"/>
      <c r="Z71" s="1"/>
    </row>
    <row r="72">
      <c r="A72" s="1" t="str">
        <f>IFERROR(__xludf.DUMMYFUNCTION("""COMPUTED_VALUE"""),"Правописание безударных личных окончаний глаголов-исключений")</f>
        <v>Правописание безударных личных окончаний глаголов-исключений</v>
      </c>
      <c r="B72" s="1">
        <f>IFERROR(__xludf.DUMMYFUNCTION("""COMPUTED_VALUE"""),1110.0)</f>
        <v>1110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 t="str">
        <f>IFERROR(__xludf.DUMMYFUNCTION("""COMPUTED_VALUE"""),"Вопросно-ответная форма изложения")</f>
        <v>Вопросно-ответная форма изложения</v>
      </c>
      <c r="R72" s="1">
        <f>IFERROR(__xludf.DUMMYFUNCTION("""COMPUTED_VALUE"""),876.0)</f>
        <v>876</v>
      </c>
      <c r="S72" s="1"/>
      <c r="T72" s="1"/>
      <c r="U72" s="1"/>
      <c r="V72" s="1"/>
      <c r="W72" s="1"/>
      <c r="X72" s="1"/>
      <c r="Y72" s="1"/>
      <c r="Z72" s="1"/>
    </row>
    <row r="73">
      <c r="A73" s="1" t="str">
        <f>IFERROR(__xludf.DUMMYFUNCTION("""COMPUTED_VALUE"""),"Правописание суффиксов причастий УЩ, ЮЩ, АЩ, ЯЩ")</f>
        <v>Правописание суффиксов причастий УЩ, ЮЩ, АЩ, ЯЩ</v>
      </c>
      <c r="B73" s="1">
        <f>IFERROR(__xludf.DUMMYFUNCTION("""COMPUTED_VALUE"""),1111.0)</f>
        <v>1111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 t="str">
        <f>IFERROR(__xludf.DUMMYFUNCTION("""COMPUTED_VALUE"""),"Градация")</f>
        <v>Градация</v>
      </c>
      <c r="R73" s="1">
        <f>IFERROR(__xludf.DUMMYFUNCTION("""COMPUTED_VALUE"""),877.0)</f>
        <v>877</v>
      </c>
      <c r="S73" s="1"/>
      <c r="T73" s="1"/>
      <c r="U73" s="1"/>
      <c r="V73" s="1"/>
      <c r="W73" s="1"/>
      <c r="X73" s="1"/>
      <c r="Y73" s="1"/>
      <c r="Z73" s="1"/>
    </row>
    <row r="74">
      <c r="A74" s="1" t="str">
        <f>IFERROR(__xludf.DUMMYFUNCTION("""COMPUTED_VALUE"""),"Правописание суффиксов причастий ЕМ и ИМ")</f>
        <v>Правописание суффиксов причастий ЕМ и ИМ</v>
      </c>
      <c r="B74" s="1">
        <f>IFERROR(__xludf.DUMMYFUNCTION("""COMPUTED_VALUE"""),1112.0)</f>
        <v>1112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 t="str">
        <f>IFERROR(__xludf.DUMMYFUNCTION("""COMPUTED_VALUE"""),"Инверсия")</f>
        <v>Инверсия</v>
      </c>
      <c r="R74" s="1">
        <f>IFERROR(__xludf.DUMMYFUNCTION("""COMPUTED_VALUE"""),878.0)</f>
        <v>878</v>
      </c>
      <c r="S74" s="1"/>
      <c r="T74" s="1"/>
      <c r="U74" s="1"/>
      <c r="V74" s="1"/>
      <c r="W74" s="1"/>
      <c r="X74" s="1"/>
      <c r="Y74" s="1"/>
      <c r="Z74" s="1"/>
    </row>
    <row r="75">
      <c r="A75" s="1" t="str">
        <f>IFERROR(__xludf.DUMMYFUNCTION("""COMPUTED_VALUE"""),"Правописание гласной перед НН в причастиях")</f>
        <v>Правописание гласной перед НН в причастиях</v>
      </c>
      <c r="B75" s="1">
        <f>IFERROR(__xludf.DUMMYFUNCTION("""COMPUTED_VALUE"""),1113.0)</f>
        <v>1113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 t="str">
        <f>IFERROR(__xludf.DUMMYFUNCTION("""COMPUTED_VALUE"""),"Лексический повтор")</f>
        <v>Лексический повтор</v>
      </c>
      <c r="R75" s="1">
        <f>IFERROR(__xludf.DUMMYFUNCTION("""COMPUTED_VALUE"""),879.0)</f>
        <v>879</v>
      </c>
      <c r="S75" s="1"/>
      <c r="T75" s="1"/>
      <c r="U75" s="1"/>
      <c r="V75" s="1"/>
      <c r="W75" s="1"/>
      <c r="X75" s="1"/>
      <c r="Y75" s="1"/>
      <c r="Z75" s="1"/>
    </row>
    <row r="76">
      <c r="A76" s="1" t="str">
        <f>IFERROR(__xludf.DUMMYFUNCTION("""COMPUTED_VALUE"""),"Правописание гласной перед -ВШ- в причастиях")</f>
        <v>Правописание гласной перед -ВШ- в причастиях</v>
      </c>
      <c r="B76" s="1">
        <f>IFERROR(__xludf.DUMMYFUNCTION("""COMPUTED_VALUE"""),1114.0)</f>
        <v>1114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 t="str">
        <f>IFERROR(__xludf.DUMMYFUNCTION("""COMPUTED_VALUE"""),"Парцелляция")</f>
        <v>Парцелляция</v>
      </c>
      <c r="R76" s="1">
        <f>IFERROR(__xludf.DUMMYFUNCTION("""COMPUTED_VALUE"""),880.0)</f>
        <v>880</v>
      </c>
      <c r="S76" s="1"/>
      <c r="T76" s="1"/>
      <c r="U76" s="1"/>
      <c r="V76" s="1"/>
      <c r="W76" s="1"/>
      <c r="X76" s="1"/>
      <c r="Y76" s="1"/>
      <c r="Z76" s="1"/>
    </row>
    <row r="77">
      <c r="A77" s="1" t="str">
        <f>IFERROR(__xludf.DUMMYFUNCTION("""COMPUTED_VALUE"""),"Написание НЕ со словом, которое без НЕ не употребляется")</f>
        <v>Написание НЕ со словом, которое без НЕ не употребляется</v>
      </c>
      <c r="B77" s="1">
        <f>IFERROR(__xludf.DUMMYFUNCTION("""COMPUTED_VALUE"""),1115.0)</f>
        <v>1115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 t="str">
        <f>IFERROR(__xludf.DUMMYFUNCTION("""COMPUTED_VALUE"""),"Антитеза")</f>
        <v>Антитеза</v>
      </c>
      <c r="R77" s="1">
        <f>IFERROR(__xludf.DUMMYFUNCTION("""COMPUTED_VALUE"""),881.0)</f>
        <v>881</v>
      </c>
      <c r="S77" s="1"/>
      <c r="T77" s="1"/>
      <c r="U77" s="1"/>
      <c r="V77" s="1"/>
      <c r="W77" s="1"/>
      <c r="X77" s="1"/>
      <c r="Y77" s="1"/>
      <c r="Z77" s="1"/>
    </row>
    <row r="78">
      <c r="A78" s="1" t="str">
        <f>IFERROR(__xludf.DUMMYFUNCTION("""COMPUTED_VALUE"""),"Написание НЕ со словом, у которого есть синоним без НЕ")</f>
        <v>Написание НЕ со словом, у которого есть синоним без НЕ</v>
      </c>
      <c r="B78" s="1">
        <f>IFERROR(__xludf.DUMMYFUNCTION("""COMPUTED_VALUE"""),1116.0)</f>
        <v>1116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 t="str">
        <f>IFERROR(__xludf.DUMMYFUNCTION("""COMPUTED_VALUE"""),"Синтаксический параллелизм")</f>
        <v>Синтаксический параллелизм</v>
      </c>
      <c r="R78" s="1">
        <f>IFERROR(__xludf.DUMMYFUNCTION("""COMPUTED_VALUE"""),882.0)</f>
        <v>882</v>
      </c>
      <c r="S78" s="1"/>
      <c r="T78" s="1"/>
      <c r="U78" s="1"/>
      <c r="V78" s="1"/>
      <c r="W78" s="1"/>
      <c r="X78" s="1"/>
      <c r="Y78" s="1"/>
      <c r="Z78" s="1"/>
    </row>
    <row r="79">
      <c r="A79" s="1" t="str">
        <f>IFERROR(__xludf.DUMMYFUNCTION("""COMPUTED_VALUE"""),"Написание НЕ с полными одиночными причастиями")</f>
        <v>Написание НЕ с полными одиночными причастиями</v>
      </c>
      <c r="B79" s="1">
        <f>IFERROR(__xludf.DUMMYFUNCTION("""COMPUTED_VALUE"""),1117.0)</f>
        <v>1117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 t="str">
        <f>IFERROR(__xludf.DUMMYFUNCTION("""COMPUTED_VALUE"""),"Цитирование")</f>
        <v>Цитирование</v>
      </c>
      <c r="R79" s="1">
        <f>IFERROR(__xludf.DUMMYFUNCTION("""COMPUTED_VALUE"""),883.0)</f>
        <v>883</v>
      </c>
      <c r="S79" s="1"/>
      <c r="T79" s="1"/>
      <c r="U79" s="1"/>
      <c r="V79" s="1"/>
      <c r="W79" s="1"/>
      <c r="X79" s="1"/>
      <c r="Y79" s="1"/>
      <c r="Z79" s="1"/>
    </row>
    <row r="80">
      <c r="A80" s="1" t="str">
        <f>IFERROR(__xludf.DUMMYFUNCTION("""COMPUTED_VALUE"""),"Написание НЕ со словами с наречиями меры и степени")</f>
        <v>Написание НЕ со словами с наречиями меры и степени</v>
      </c>
      <c r="B80" s="1">
        <f>IFERROR(__xludf.DUMMYFUNCTION("""COMPUTED_VALUE"""),1118.0)</f>
        <v>1118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 t="str">
        <f>IFERROR(__xludf.DUMMYFUNCTION("""COMPUTED_VALUE"""),"Диалог")</f>
        <v>Диалог</v>
      </c>
      <c r="R80" s="1">
        <f>IFERROR(__xludf.DUMMYFUNCTION("""COMPUTED_VALUE"""),884.0)</f>
        <v>884</v>
      </c>
      <c r="S80" s="1"/>
      <c r="T80" s="1"/>
      <c r="U80" s="1"/>
      <c r="V80" s="1"/>
      <c r="W80" s="1"/>
      <c r="X80" s="1"/>
      <c r="Y80" s="1"/>
      <c r="Z80" s="1"/>
    </row>
    <row r="81">
      <c r="A81" s="1" t="str">
        <f>IFERROR(__xludf.DUMMYFUNCTION("""COMPUTED_VALUE"""),"Написание НЕ с неопределенными местоимениями")</f>
        <v>Написание НЕ с неопределенными местоимениями</v>
      </c>
      <c r="B81" s="1">
        <f>IFERROR(__xludf.DUMMYFUNCTION("""COMPUTED_VALUE"""),1119.0)</f>
        <v>1119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 t="str">
        <f>IFERROR(__xludf.DUMMYFUNCTION("""COMPUTED_VALUE"""),"Монолог")</f>
        <v>Монолог</v>
      </c>
      <c r="R81" s="1">
        <f>IFERROR(__xludf.DUMMYFUNCTION("""COMPUTED_VALUE"""),885.0)</f>
        <v>885</v>
      </c>
      <c r="S81" s="1"/>
      <c r="T81" s="1"/>
      <c r="U81" s="1"/>
      <c r="V81" s="1"/>
      <c r="W81" s="1"/>
      <c r="X81" s="1"/>
      <c r="Y81" s="1"/>
      <c r="Z81" s="1"/>
    </row>
    <row r="82">
      <c r="A82" s="1" t="str">
        <f>IFERROR(__xludf.DUMMYFUNCTION("""COMPUTED_VALUE"""),"Написание НЕ с отрицательными наречиями")</f>
        <v>Написание НЕ с отрицательными наречиями</v>
      </c>
      <c r="B82" s="1">
        <f>IFERROR(__xludf.DUMMYFUNCTION("""COMPUTED_VALUE"""),1120.0)</f>
        <v>1120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 t="str">
        <f>IFERROR(__xludf.DUMMYFUNCTION("""COMPUTED_VALUE"""),"Лексический повтор как средство связи")</f>
        <v>Лексический повтор как средство связи</v>
      </c>
      <c r="R82" s="1">
        <f>IFERROR(__xludf.DUMMYFUNCTION("""COMPUTED_VALUE"""),886.0)</f>
        <v>886</v>
      </c>
      <c r="S82" s="1"/>
      <c r="T82" s="1"/>
      <c r="U82" s="1"/>
      <c r="V82" s="1"/>
      <c r="W82" s="1"/>
      <c r="X82" s="1"/>
      <c r="Y82" s="1"/>
      <c r="Z82" s="1"/>
    </row>
    <row r="83">
      <c r="A83" s="1" t="str">
        <f>IFERROR(__xludf.DUMMYFUNCTION("""COMPUTED_VALUE"""),"Написание НЕ со словом при противопоставлении с союзом НО")</f>
        <v>Написание НЕ со словом при противопоставлении с союзом НО</v>
      </c>
      <c r="B83" s="1">
        <f>IFERROR(__xludf.DUMMYFUNCTION("""COMPUTED_VALUE"""),1121.0)</f>
        <v>1121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 t="str">
        <f>IFERROR(__xludf.DUMMYFUNCTION("""COMPUTED_VALUE"""),"Вводные слова как средство связи")</f>
        <v>Вводные слова как средство связи</v>
      </c>
      <c r="R83" s="1">
        <f>IFERROR(__xludf.DUMMYFUNCTION("""COMPUTED_VALUE"""),887.0)</f>
        <v>887</v>
      </c>
      <c r="S83" s="1"/>
      <c r="T83" s="1"/>
      <c r="U83" s="1"/>
      <c r="V83" s="1"/>
      <c r="W83" s="1"/>
      <c r="X83" s="1"/>
      <c r="Y83" s="1"/>
      <c r="Z83" s="1"/>
    </row>
    <row r="84">
      <c r="A84" s="1" t="str">
        <f>IFERROR(__xludf.DUMMYFUNCTION("""COMPUTED_VALUE"""),"Написание НЕ с производным предлогом")</f>
        <v>Написание НЕ с производным предлогом</v>
      </c>
      <c r="B84" s="1">
        <f>IFERROR(__xludf.DUMMYFUNCTION("""COMPUTED_VALUE"""),1122.0)</f>
        <v>1122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 t="str">
        <f>IFERROR(__xludf.DUMMYFUNCTION("""COMPUTED_VALUE"""),"Формы слова как средство связи")</f>
        <v>Формы слова как средство связи</v>
      </c>
      <c r="R84" s="1">
        <f>IFERROR(__xludf.DUMMYFUNCTION("""COMPUTED_VALUE"""),888.0)</f>
        <v>888</v>
      </c>
      <c r="S84" s="1"/>
      <c r="T84" s="1"/>
      <c r="U84" s="1"/>
      <c r="V84" s="1"/>
      <c r="W84" s="1"/>
      <c r="X84" s="1"/>
      <c r="Y84" s="1"/>
      <c r="Z84" s="1"/>
    </row>
    <row r="85">
      <c r="A85" s="1" t="str">
        <f>IFERROR(__xludf.DUMMYFUNCTION("""COMPUTED_VALUE"""),"Написание НЕ со словами через дефис")</f>
        <v>Написание НЕ со словами через дефис</v>
      </c>
      <c r="B85" s="1">
        <f>IFERROR(__xludf.DUMMYFUNCTION("""COMPUTED_VALUE"""),1123.0)</f>
        <v>1123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 t="str">
        <f>IFERROR(__xludf.DUMMYFUNCTION("""COMPUTED_VALUE"""),"Однокоренные слова как средство связи")</f>
        <v>Однокоренные слова как средство связи</v>
      </c>
      <c r="R85" s="1">
        <f>IFERROR(__xludf.DUMMYFUNCTION("""COMPUTED_VALUE"""),889.0)</f>
        <v>889</v>
      </c>
      <c r="S85" s="1"/>
      <c r="T85" s="1"/>
      <c r="U85" s="1"/>
      <c r="V85" s="1"/>
      <c r="W85" s="1"/>
      <c r="X85" s="1"/>
      <c r="Y85" s="1"/>
      <c r="Z85" s="1"/>
    </row>
    <row r="86">
      <c r="A86" s="1" t="str">
        <f>IFERROR(__xludf.DUMMYFUNCTION("""COMPUTED_VALUE"""),"Написание НЕ со словом при противопоставлении с союзом А")</f>
        <v>Написание НЕ со словом при противопоставлении с союзом А</v>
      </c>
      <c r="B86" s="1">
        <f>IFERROR(__xludf.DUMMYFUNCTION("""COMPUTED_VALUE"""),1124.0)</f>
        <v>1124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 t="str">
        <f>IFERROR(__xludf.DUMMYFUNCTION("""COMPUTED_VALUE"""),"Личные местоимения как средство связи")</f>
        <v>Личные местоимения как средство связи</v>
      </c>
      <c r="R86" s="1">
        <f>IFERROR(__xludf.DUMMYFUNCTION("""COMPUTED_VALUE"""),890.0)</f>
        <v>890</v>
      </c>
      <c r="S86" s="1"/>
      <c r="T86" s="1"/>
      <c r="U86" s="1"/>
      <c r="V86" s="1"/>
      <c r="W86" s="1"/>
      <c r="X86" s="1"/>
      <c r="Y86" s="1"/>
      <c r="Z86" s="1"/>
    </row>
    <row r="87">
      <c r="A87" s="1" t="str">
        <f>IFERROR(__xludf.DUMMYFUNCTION("""COMPUTED_VALUE"""),"Написание НЕ с кратким прилагательными, которые не имеют полную форму")</f>
        <v>Написание НЕ с кратким прилагательными, которые не имеют полную форму</v>
      </c>
      <c r="B87" s="1">
        <f>IFERROR(__xludf.DUMMYFUNCTION("""COMPUTED_VALUE"""),1125.0)</f>
        <v>1125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 t="str">
        <f>IFERROR(__xludf.DUMMYFUNCTION("""COMPUTED_VALUE"""),"Притяжательные местоимения как средство связи")</f>
        <v>Притяжательные местоимения как средство связи</v>
      </c>
      <c r="R87" s="1">
        <f>IFERROR(__xludf.DUMMYFUNCTION("""COMPUTED_VALUE"""),891.0)</f>
        <v>891</v>
      </c>
      <c r="S87" s="1"/>
      <c r="T87" s="1"/>
      <c r="U87" s="1"/>
      <c r="V87" s="1"/>
      <c r="W87" s="1"/>
      <c r="X87" s="1"/>
      <c r="Y87" s="1"/>
      <c r="Z87" s="1"/>
    </row>
    <row r="88">
      <c r="A88" s="1" t="str">
        <f>IFERROR(__xludf.DUMMYFUNCTION("""COMPUTED_VALUE"""),"Написание НЕ со словами, усиливающими отрицание")</f>
        <v>Написание НЕ со словами, усиливающими отрицание</v>
      </c>
      <c r="B88" s="1">
        <f>IFERROR(__xludf.DUMMYFUNCTION("""COMPUTED_VALUE"""),1126.0)</f>
        <v>1126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 t="str">
        <f>IFERROR(__xludf.DUMMYFUNCTION("""COMPUTED_VALUE"""),"Указательные местоимения как средство связи")</f>
        <v>Указательные местоимения как средство связи</v>
      </c>
      <c r="R88" s="1">
        <f>IFERROR(__xludf.DUMMYFUNCTION("""COMPUTED_VALUE"""),892.0)</f>
        <v>892</v>
      </c>
      <c r="S88" s="1"/>
      <c r="T88" s="1"/>
      <c r="U88" s="1"/>
      <c r="V88" s="1"/>
      <c r="W88" s="1"/>
      <c r="X88" s="1"/>
      <c r="Y88" s="1"/>
      <c r="Z88" s="1"/>
    </row>
    <row r="89">
      <c r="A89" s="1" t="str">
        <f>IFERROR(__xludf.DUMMYFUNCTION("""COMPUTED_VALUE"""),"Написание НЕ с глаголами, деепричастиями, наречиями не на -о и -е, краткими причастиями, числительными, союзами, частицами и предлогами")</f>
        <v>Написание НЕ с глаголами, деепричастиями, наречиями не на -о и -е, краткими причастиями, числительными, союзами, частицами и предлогами</v>
      </c>
      <c r="B89" s="1">
        <f>IFERROR(__xludf.DUMMYFUNCTION("""COMPUTED_VALUE"""),1127.0)</f>
        <v>1127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 t="str">
        <f>IFERROR(__xludf.DUMMYFUNCTION("""COMPUTED_VALUE"""),"Определительные местоимения как средство связи")</f>
        <v>Определительные местоимения как средство связи</v>
      </c>
      <c r="R89" s="1">
        <f>IFERROR(__xludf.DUMMYFUNCTION("""COMPUTED_VALUE"""),893.0)</f>
        <v>893</v>
      </c>
      <c r="S89" s="1"/>
      <c r="T89" s="1"/>
      <c r="U89" s="1"/>
      <c r="V89" s="1"/>
      <c r="W89" s="1"/>
      <c r="X89" s="1"/>
      <c r="Y89" s="1"/>
      <c r="Z89" s="1"/>
    </row>
    <row r="90">
      <c r="A90" s="1" t="str">
        <f>IFERROR(__xludf.DUMMYFUNCTION("""COMPUTED_VALUE"""),"Написание НЕ с причастиями с зависимыми словами")</f>
        <v>Написание НЕ с причастиями с зависимыми словами</v>
      </c>
      <c r="B90" s="1">
        <f>IFERROR(__xludf.DUMMYFUNCTION("""COMPUTED_VALUE"""),1128.0)</f>
        <v>1128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 t="str">
        <f>IFERROR(__xludf.DUMMYFUNCTION("""COMPUTED_VALUE"""),"Союз как средство связи")</f>
        <v>Союз как средство связи</v>
      </c>
      <c r="R90" s="1">
        <f>IFERROR(__xludf.DUMMYFUNCTION("""COMPUTED_VALUE"""),894.0)</f>
        <v>894</v>
      </c>
      <c r="S90" s="1"/>
      <c r="T90" s="1"/>
      <c r="U90" s="1"/>
      <c r="V90" s="1"/>
      <c r="W90" s="1"/>
      <c r="X90" s="1"/>
      <c r="Y90" s="1"/>
      <c r="Z90" s="1"/>
    </row>
    <row r="91">
      <c r="A91" s="1" t="str">
        <f>IFERROR(__xludf.DUMMYFUNCTION("""COMPUTED_VALUE"""),"Написание НЕ со словами в сравнительной степени")</f>
        <v>Написание НЕ со словами в сравнительной степени</v>
      </c>
      <c r="B91" s="1">
        <f>IFERROR(__xludf.DUMMYFUNCTION("""COMPUTED_VALUE"""),1129.0)</f>
        <v>1129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 t="str">
        <f>IFERROR(__xludf.DUMMYFUNCTION("""COMPUTED_VALUE"""),"Частицы как средство связи")</f>
        <v>Частицы как средство связи</v>
      </c>
      <c r="R91" s="1">
        <f>IFERROR(__xludf.DUMMYFUNCTION("""COMPUTED_VALUE"""),895.0)</f>
        <v>895</v>
      </c>
      <c r="S91" s="1"/>
      <c r="T91" s="1"/>
      <c r="U91" s="1"/>
      <c r="V91" s="1"/>
      <c r="W91" s="1"/>
      <c r="X91" s="1"/>
      <c r="Y91" s="1"/>
      <c r="Z91" s="1"/>
    </row>
    <row r="92">
      <c r="A92" s="1" t="str">
        <f>IFERROR(__xludf.DUMMYFUNCTION("""COMPUTED_VALUE"""),"Написание НЕ с относительными прилагательными")</f>
        <v>Написание НЕ с относительными прилагательными</v>
      </c>
      <c r="B92" s="1">
        <f>IFERROR(__xludf.DUMMYFUNCTION("""COMPUTED_VALUE"""),1130.0)</f>
        <v>1130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 t="str">
        <f>IFERROR(__xludf.DUMMYFUNCTION("""COMPUTED_VALUE"""),"Формулировки, обозначающие смысловые отношения между предложениями")</f>
        <v>Формулировки, обозначающие смысловые отношения между предложениями</v>
      </c>
      <c r="R92" s="1">
        <f>IFERROR(__xludf.DUMMYFUNCTION("""COMPUTED_VALUE"""),896.0)</f>
        <v>896</v>
      </c>
      <c r="S92" s="1"/>
      <c r="T92" s="1"/>
      <c r="U92" s="1"/>
      <c r="V92" s="1"/>
      <c r="W92" s="1"/>
      <c r="X92" s="1"/>
      <c r="Y92" s="1"/>
      <c r="Z92" s="1"/>
    </row>
    <row r="93">
      <c r="A93" s="1" t="str">
        <f>IFERROR(__xludf.DUMMYFUNCTION("""COMPUTED_VALUE"""),"Написание НЕ с наречиями в безличных предложениях")</f>
        <v>Написание НЕ с наречиями в безличных предложениях</v>
      </c>
      <c r="B93" s="1">
        <f>IFERROR(__xludf.DUMMYFUNCTION("""COMPUTED_VALUE"""),1131.0)</f>
        <v>1131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tr">
        <f>IFERROR(__xludf.DUMMYFUNCTION("""COMPUTED_VALUE"""),"Написание НЕ с неопределенными местоимениями с предлогом")</f>
        <v>Написание НЕ с неопределенными местоимениями с предлогом</v>
      </c>
      <c r="B94" s="1">
        <f>IFERROR(__xludf.DUMMYFUNCTION("""COMPUTED_VALUE"""),1132.0)</f>
        <v>1132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tr">
        <f>IFERROR(__xludf.DUMMYFUNCTION("""COMPUTED_VALUE"""),"Написание НЕ в вопросительных предложениях")</f>
        <v>Написание НЕ в вопросительных предложениях</v>
      </c>
      <c r="B95" s="1">
        <f>IFERROR(__xludf.DUMMYFUNCTION("""COMPUTED_VALUE"""),1133.0)</f>
        <v>1133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 t="str">
        <f>IFERROR(__xludf.DUMMYFUNCTION("""COMPUTED_VALUE"""),"Раздельное написание НИ")</f>
        <v>Раздельное написание НИ</v>
      </c>
      <c r="B96" s="1">
        <f>IFERROR(__xludf.DUMMYFUNCTION("""COMPUTED_VALUE"""),1134.0)</f>
        <v>1134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 t="str">
        <f>IFERROR(__xludf.DUMMYFUNCTION("""COMPUTED_VALUE"""),"Дефисное написание")</f>
        <v>Дефисное написание</v>
      </c>
      <c r="B97" s="1">
        <f>IFERROR(__xludf.DUMMYFUNCTION("""COMPUTED_VALUE"""),1135.0)</f>
        <v>1135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 t="str">
        <f>IFERROR(__xludf.DUMMYFUNCTION("""COMPUTED_VALUE"""),"Правописание -Н- в притяжательных прилагательных")</f>
        <v>Правописание -Н- в притяжательных прилагательных</v>
      </c>
      <c r="B98" s="1">
        <f>IFERROR(__xludf.DUMMYFUNCTION("""COMPUTED_VALUE"""),1136.0)</f>
        <v>1136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 t="str">
        <f>IFERROR(__xludf.DUMMYFUNCTION("""COMPUTED_VALUE"""),"Правописание -НН- в отымённых прилагательных, которые образованы от существительных на -мя")</f>
        <v>Правописание -НН- в отымённых прилагательных, которые образованы от существительных на -мя</v>
      </c>
      <c r="B99" s="1">
        <f>IFERROR(__xludf.DUMMYFUNCTION("""COMPUTED_VALUE"""),1137.0)</f>
        <v>1137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 t="str">
        <f>IFERROR(__xludf.DUMMYFUNCTION("""COMPUTED_VALUE"""),"Определение спряжения глагола")</f>
        <v>Определение спряжения глагола</v>
      </c>
      <c r="B100" s="1">
        <f>IFERROR(__xludf.DUMMYFUNCTION("""COMPUTED_VALUE"""),1139.0)</f>
        <v>1139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 t="str">
        <f>IFERROR(__xludf.DUMMYFUNCTION("""COMPUTED_VALUE"""),"Слитное написание НИ")</f>
        <v>Слитное написание НИ</v>
      </c>
      <c r="B101" s="1">
        <f>IFERROR(__xludf.DUMMYFUNCTION("""COMPUTED_VALUE"""),1140.0)</f>
        <v>1140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 t="str">
        <f>IFERROR(__xludf.DUMMYFUNCTION("""COMPUTED_VALUE"""),"Правописание -Н- и -НН- в суффиксах кратких отымённых прилагательных")</f>
        <v>Правописание -Н- и -НН- в суффиксах кратких отымённых прилагательных</v>
      </c>
      <c r="B102" s="1">
        <f>IFERROR(__xludf.DUMMYFUNCTION("""COMPUTED_VALUE"""),1141.0)</f>
        <v>1141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 t="str">
        <f>IFERROR(__xludf.DUMMYFUNCTION("""COMPUTED_VALUE"""),"Правописание -Н- в кратких причастиях")</f>
        <v>Правописание -Н- в кратких причастиях</v>
      </c>
      <c r="B103" s="1">
        <f>IFERROR(__xludf.DUMMYFUNCTION("""COMPUTED_VALUE"""),1142.0)</f>
        <v>1142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 t="str">
        <f>IFERROR(__xludf.DUMMYFUNCTION("""COMPUTED_VALUE"""),"Правописание согласных в корне слова")</f>
        <v>Правописание согласных в корне слова</v>
      </c>
      <c r="B104" s="1">
        <f>IFERROR(__xludf.DUMMYFUNCTION("""COMPUTED_VALUE"""),1143.0)</f>
        <v>1143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 t="str">
        <f>IFERROR(__xludf.DUMMYFUNCTION("""COMPUTED_VALUE"""),"Раздельное написание НИ")</f>
        <v>Раздельное написание НИ</v>
      </c>
      <c r="B105" s="1">
        <f>IFERROR(__xludf.DUMMYFUNCTION("""COMPUTED_VALUE"""),1144.0)</f>
        <v>1144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 t="str">
        <f>IFERROR(__xludf.DUMMYFUNCTION("""COMPUTED_VALUE"""),"Правописание гласной после шипящих в корне")</f>
        <v>Правописание гласной после шипящих в корне</v>
      </c>
      <c r="B106" s="1">
        <f>IFERROR(__xludf.DUMMYFUNCTION("""COMPUTED_VALUE"""),1145.0)</f>
        <v>1145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 t="str">
        <f>IFERROR(__xludf.DUMMYFUNCTION("""COMPUTED_VALUE"""),"Гласные после Ц в корне")</f>
        <v>Гласные после Ц в корне</v>
      </c>
      <c r="B107" s="1">
        <f>IFERROR(__xludf.DUMMYFUNCTION("""COMPUTED_VALUE"""),1146.0)</f>
        <v>1146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 t="str">
        <f>IFERROR(__xludf.DUMMYFUNCTION("""COMPUTED_VALUE"""),"Правописание гласной после шипящих в корне")</f>
        <v>Правописание гласной после шипящих в корне</v>
      </c>
      <c r="B108" s="1">
        <f>IFERROR(__xludf.DUMMYFUNCTION("""COMPUTED_VALUE"""),1147.0)</f>
        <v>1147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 t="str">
        <f>IFERROR(__xludf.DUMMYFUNCTION("""COMPUTED_VALUE"""),"Гласные после Ц в корне")</f>
        <v>Гласные после Ц в корне</v>
      </c>
      <c r="B109" s="1">
        <f>IFERROR(__xludf.DUMMYFUNCTION("""COMPUTED_VALUE"""),1148.0)</f>
        <v>1148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 t="str">
        <f>IFERROR(__xludf.DUMMYFUNCTION("""COMPUTED_VALUE"""),"Правописание гласной после шипящих в корне")</f>
        <v>Правописание гласной после шипящих в корне</v>
      </c>
      <c r="B110" s="1">
        <f>IFERROR(__xludf.DUMMYFUNCTION("""COMPUTED_VALUE"""),1149.0)</f>
        <v>1149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 t="str">
        <f>IFERROR(__xludf.DUMMYFUNCTION("""COMPUTED_VALUE"""),"Гласные после Ц в корне")</f>
        <v>Гласные после Ц в корне</v>
      </c>
      <c r="B111" s="1">
        <f>IFERROR(__xludf.DUMMYFUNCTION("""COMPUTED_VALUE"""),1150.0)</f>
        <v>1150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 t="str">
        <f>IFERROR(__xludf.DUMMYFUNCTION("""COMPUTED_VALUE"""),"Суффиксы глаголов -ОВА(ЕВА)-/-ЫВА(ИВА)-")</f>
        <v>Суффиксы глаголов -ОВА(ЕВА)-/-ЫВА(ИВА)-</v>
      </c>
      <c r="B112" s="1">
        <f>IFERROR(__xludf.DUMMYFUNCTION("""COMPUTED_VALUE"""),1151.0)</f>
        <v>1151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 t="str">
        <f>IFERROR(__xludf.DUMMYFUNCTION("""COMPUTED_VALUE"""),"Правописание суффикса глаголов перед ударным -ВА-")</f>
        <v>Правописание суффикса глаголов перед ударным -ВА-</v>
      </c>
      <c r="B113" s="1">
        <f>IFERROR(__xludf.DUMMYFUNCTION("""COMPUTED_VALUE"""),1152.0)</f>
        <v>1152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 t="str">
        <f>IFERROR(__xludf.DUMMYFUNCTION("""COMPUTED_VALUE"""),"Суффиксы прилагательных -ЧИВ-/-ЛИВ")</f>
        <v>Суффиксы прилагательных -ЧИВ-/-ЛИВ</v>
      </c>
      <c r="B114" s="1">
        <f>IFERROR(__xludf.DUMMYFUNCTION("""COMPUTED_VALUE"""),1153.0)</f>
        <v>1153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 t="str">
        <f>IFERROR(__xludf.DUMMYFUNCTION("""COMPUTED_VALUE"""),"Суффикс прилагательных -ИСТ-")</f>
        <v>Суффикс прилагательных -ИСТ-</v>
      </c>
      <c r="B115" s="1">
        <f>IFERROR(__xludf.DUMMYFUNCTION("""COMPUTED_VALUE"""),1154.0)</f>
        <v>1154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 t="str">
        <f>IFERROR(__xludf.DUMMYFUNCTION("""COMPUTED_VALUE"""),"Суффикс прилагательных -ЕСК-")</f>
        <v>Суффикс прилагательных -ЕСК-</v>
      </c>
      <c r="B116" s="1">
        <f>IFERROR(__xludf.DUMMYFUNCTION("""COMPUTED_VALUE"""),1155.0)</f>
        <v>1155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 t="str">
        <f>IFERROR(__xludf.DUMMYFUNCTION("""COMPUTED_VALUE"""),"Суффиксы прилагательных -ЕНСК-/-ИНСК-")</f>
        <v>Суффиксы прилагательных -ЕНСК-/-ИНСК-</v>
      </c>
      <c r="B117" s="1">
        <f>IFERROR(__xludf.DUMMYFUNCTION("""COMPUTED_VALUE"""),1156.0)</f>
        <v>1156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 t="str">
        <f>IFERROR(__xludf.DUMMYFUNCTION("""COMPUTED_VALUE"""),"Правописание -НН- в кратких отглагольных прилагательных")</f>
        <v>Правописание -НН- в кратких отглагольных прилагательных</v>
      </c>
      <c r="B118" s="1">
        <f>IFERROR(__xludf.DUMMYFUNCTION("""COMPUTED_VALUE"""),1157.0)</f>
        <v>1157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 t="str">
        <f>IFERROR(__xludf.DUMMYFUNCTION("""COMPUTED_VALUE"""),"Правописание -Н- и -НН- наречиях")</f>
        <v>Правописание -Н- и -НН- наречиях</v>
      </c>
      <c r="B119" s="1">
        <f>IFERROR(__xludf.DUMMYFUNCTION("""COMPUTED_VALUE"""),1158.0)</f>
        <v>1158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 t="str">
        <f>IFERROR(__xludf.DUMMYFUNCTION("""COMPUTED_VALUE"""),"Правописание безударных проверяемых гласных в корне слова")</f>
        <v>Правописание безударных проверяемых гласных в корне слова</v>
      </c>
      <c r="B120" s="1">
        <f>IFERROR(__xludf.DUMMYFUNCTION("""COMPUTED_VALUE"""),1159.0)</f>
        <v>1159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