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IFERROR(__xludf.DUMMYFUNCTION("IMPORTRANGE(""https://docs.google.com/spreadsheets/d/1KhlcAFOdhmXdkKCREzUyloeKG_9smoJ8BQiuq6S6wkk/edit#gid=1086412777"",""УМИТЫ!A:Z"")"),"Арифметика,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IFERROR(__xludf.DUMMYFUNCTION("""COMPUTED_VALUE"""),"Финановая математика, задача с параметром, числа и их свойства")</f>
        <v>Финановая математика, задача с параметром, 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IFERROR(__xludf.DUMMYFUNCTION("""COMPUTED_VALUE"""),"Понятие вектора")</f>
        <v>Понятие вектора</v>
      </c>
      <c r="P2" s="1">
        <f>IFERROR(__xludf.DUMMYFUNCTION("""COMPUTED_VALUE"""),701.0)</f>
        <v>701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IFERROR(__xludf.DUMMYFUNCTION("""COMPUTED_VALUE"""),"Понятие аннуитетного платежа")</f>
        <v>Понятие аннуитетного платежа</v>
      </c>
      <c r="X2" s="1">
        <f>IFERROR(__xludf.DUMMYFUNCTION("""COMPUTED_VALUE"""),1101.0)</f>
        <v>1101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IFERROR(__xludf.DUMMYFUNCTION("""COMPUTED_VALUE"""),"Равенство векторов")</f>
        <v>Равенство векторов</v>
      </c>
      <c r="P3" s="1">
        <f>IFERROR(__xludf.DUMMYFUNCTION("""COMPUTED_VALUE"""),702.0)</f>
        <v>702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свойств чисел")</f>
        <v>Умение решать задачи с использованием свойств чисел</v>
      </c>
      <c r="V3" s="1">
        <f>IFERROR(__xludf.DUMMYFUNCTION("""COMPUTED_VALUE"""),1002.0)</f>
        <v>1002</v>
      </c>
      <c r="W3" s="1" t="str">
        <f>IFERROR(__xludf.DUMMYFUNCTION("""COMPUTED_VALUE"""),"Дифференцированный платеж")</f>
        <v>Дифференцированный платеж</v>
      </c>
      <c r="X3" s="1">
        <f>IFERROR(__xludf.DUMMYFUNCTION("""COMPUTED_VALUE"""),1102.0)</f>
        <v>1102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IFERROR(__xludf.DUMMYFUNCTION("""COMPUTED_VALUE"""),"Равенство геометрических фигур")</f>
        <v>Равенство геометрических фигур</v>
      </c>
      <c r="N4" s="1">
        <f>IFERROR(__xludf.DUMMYFUNCTION("""COMPUTED_VALUE"""),603.0)</f>
        <v>603</v>
      </c>
      <c r="O4" s="1" t="str">
        <f>IFERROR(__xludf.DUMMYFUNCTION("""COMPUTED_VALUE"""),"Откладывание вектора от данной точки")</f>
        <v>Откладывание вектора от данной точки</v>
      </c>
      <c r="P4" s="1">
        <f>IFERROR(__xludf.DUMMYFUNCTION("""COMPUTED_VALUE"""),703.0)</f>
        <v>703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долей, частей, процентов")</f>
        <v>Умение решать задачи с использованием долей, частей, процентов</v>
      </c>
      <c r="V4" s="1">
        <f>IFERROR(__xludf.DUMMYFUNCTION("""COMPUTED_VALUE"""),1003.0)</f>
        <v>1003</v>
      </c>
      <c r="W4" s="1" t="str">
        <f>IFERROR(__xludf.DUMMYFUNCTION("""COMPUTED_VALUE"""),"Смешанные выплаты")</f>
        <v>Смешанные выплаты</v>
      </c>
      <c r="X4" s="1">
        <f>IFERROR(__xludf.DUMMYFUNCTION("""COMPUTED_VALUE"""),1103.0)</f>
        <v>1103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IFERROR(__xludf.DUMMYFUNCTION("""COMPUTED_VALUE"""),"Измерение отрезков, длина отрезка")</f>
        <v>Измерение отрезков, длина отрезка</v>
      </c>
      <c r="N5" s="1">
        <f>IFERROR(__xludf.DUMMYFUNCTION("""COMPUTED_VALUE"""),604.0)</f>
        <v>604</v>
      </c>
      <c r="O5" s="1" t="str">
        <f>IFERROR(__xludf.DUMMYFUNCTION("""COMPUTED_VALUE"""),"Сумма двух, нескольких векторов. Законы сложения, правило параллелограмма")</f>
        <v>Сумма двух, нескольких векторов. Законы сложения, правило параллелограмма</v>
      </c>
      <c r="P5" s="1">
        <f>IFERROR(__xludf.DUMMYFUNCTION("""COMPUTED_VALUE"""),704.0)</f>
        <v>704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5" s="1">
        <f>IFERROR(__xludf.DUMMYFUNCTION("""COMPUTED_VALUE"""),1004.0)</f>
        <v>1004</v>
      </c>
      <c r="W5" s="1" t="str">
        <f>IFERROR(__xludf.DUMMYFUNCTION("""COMPUTED_VALUE"""),"Вклады")</f>
        <v>Вклады</v>
      </c>
      <c r="X5" s="1">
        <f>IFERROR(__xludf.DUMMYFUNCTION("""COMPUTED_VALUE"""),1104.0)</f>
        <v>1104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IFERROR(__xludf.DUMMYFUNCTION("""COMPUTED_VALUE"""),"Единицы измерения")</f>
        <v>Единицы измерения</v>
      </c>
      <c r="N6" s="1">
        <f>IFERROR(__xludf.DUMMYFUNCTION("""COMPUTED_VALUE"""),605.0)</f>
        <v>605</v>
      </c>
      <c r="O6" s="1" t="str">
        <f>IFERROR(__xludf.DUMMYFUNCTION("""COMPUTED_VALUE"""),"Вычитание векторов")</f>
        <v>Вычитание векторов</v>
      </c>
      <c r="P6" s="1">
        <f>IFERROR(__xludf.DUMMYFUNCTION("""COMPUTED_VALUE"""),705.0)</f>
        <v>705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6" s="1">
        <f>IFERROR(__xludf.DUMMYFUNCTION("""COMPUTED_VALUE"""),1005.0)</f>
        <v>1005</v>
      </c>
      <c r="W6" s="1" t="str">
        <f>IFERROR(__xludf.DUMMYFUNCTION("""COMPUTED_VALUE"""),"Кредиты")</f>
        <v>Кредиты</v>
      </c>
      <c r="X6" s="1">
        <f>IFERROR(__xludf.DUMMYFUNCTION("""COMPUTED_VALUE"""),1105.0)</f>
        <v>1105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IFERROR(__xludf.DUMMYFUNCTION("""COMPUTED_VALUE"""),"Функция у = sin х ее свойства и график")</f>
        <v>Функция у = sin х ее свойства и график</v>
      </c>
      <c r="L7" s="1">
        <f>IFERROR(__xludf.DUMMYFUNCTION("""COMPUTED_VALUE"""),506.0)</f>
        <v>506</v>
      </c>
      <c r="M7" s="1" t="str">
        <f>IFERROR(__xludf.DUMMYFUNCTION("""COMPUTED_VALUE"""),"Измерение углов, градусная мера угла")</f>
        <v>Измерение углов, градусная мера угла</v>
      </c>
      <c r="N7" s="1">
        <f>IFERROR(__xludf.DUMMYFUNCTION("""COMPUTED_VALUE"""),606.0)</f>
        <v>606</v>
      </c>
      <c r="O7" s="1" t="str">
        <f>IFERROR(__xludf.DUMMYFUNCTION("""COMPUTED_VALUE"""),"Произведение вектора на число")</f>
        <v>Произведение вектора на число</v>
      </c>
      <c r="P7" s="1">
        <f>IFERROR(__xludf.DUMMYFUNCTION("""COMPUTED_VALUE"""),706.0)</f>
        <v>706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движение по прямой")</f>
        <v>Задачи на движение по прямой</v>
      </c>
      <c r="V7" s="1">
        <f>IFERROR(__xludf.DUMMYFUNCTION("""COMPUTED_VALUE"""),1006.0)</f>
        <v>1006</v>
      </c>
      <c r="W7" s="1" t="str">
        <f>IFERROR(__xludf.DUMMYFUNCTION("""COMPUTED_VALUE"""),"Задачи на оптимальный выбор")</f>
        <v>Задачи на оптимальный выбор</v>
      </c>
      <c r="X7" s="1">
        <f>IFERROR(__xludf.DUMMYFUNCTION("""COMPUTED_VALUE"""),1106.0)</f>
        <v>1106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IFERROR(__xludf.DUMMYFUNCTION("""COMPUTED_VALUE"""),"Функция у = cos х, ее свойства и график")</f>
        <v>Функция у = cos х, ее свойства и график</v>
      </c>
      <c r="L8" s="1">
        <f>IFERROR(__xludf.DUMMYFUNCTION("""COMPUTED_VALUE"""),507.0)</f>
        <v>507</v>
      </c>
      <c r="M8" s="1" t="str">
        <f>IFERROR(__xludf.DUMMYFUNCTION("""COMPUTED_VALUE"""),"Смежные углы")</f>
        <v>Смежные углы</v>
      </c>
      <c r="N8" s="1">
        <f>IFERROR(__xludf.DUMMYFUNCTION("""COMPUTED_VALUE"""),607.0)</f>
        <v>607</v>
      </c>
      <c r="O8" s="1" t="str">
        <f>IFERROR(__xludf.DUMMYFUNCTION("""COMPUTED_VALUE"""),"Применение векторов и координат к решению задач")</f>
        <v>Применение векторов и координат к решению задач</v>
      </c>
      <c r="P8" s="1">
        <f>IFERROR(__xludf.DUMMYFUNCTION("""COMPUTED_VALUE"""),707.0)</f>
        <v>707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движение по воде")</f>
        <v>Задачи на движение по воде</v>
      </c>
      <c r="V8" s="1">
        <f>IFERROR(__xludf.DUMMYFUNCTION("""COMPUTED_VALUE"""),1007.0)</f>
        <v>1007</v>
      </c>
      <c r="W8" s="1" t="str">
        <f>IFERROR(__xludf.DUMMYFUNCTION("""COMPUTED_VALUE"""),"Смешанная схема выплат")</f>
        <v>Смешанная схема выплат</v>
      </c>
      <c r="X8" s="1">
        <f>IFERROR(__xludf.DUMMYFUNCTION("""COMPUTED_VALUE"""),1107.0)</f>
        <v>1107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IFERROR(__xludf.DUMMYFUNCTION("""COMPUTED_VALUE"""),"Периодичность функций у = sin х у = cos x")</f>
        <v>Периодичность функций у = sin х у = cos x</v>
      </c>
      <c r="L9" s="1">
        <f>IFERROR(__xludf.DUMMYFUNCTION("""COMPUTED_VALUE"""),508.0)</f>
        <v>508</v>
      </c>
      <c r="M9" s="1" t="str">
        <f>IFERROR(__xludf.DUMMYFUNCTION("""COMPUTED_VALUE"""),"Вертикальные углы")</f>
        <v>Вертикальные углы</v>
      </c>
      <c r="N9" s="1">
        <f>IFERROR(__xludf.DUMMYFUNCTION("""COMPUTED_VALUE"""),608.0)</f>
        <v>608</v>
      </c>
      <c r="O9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P9" s="1">
        <f>IFERROR(__xludf.DUMMYFUNCTION("""COMPUTED_VALUE"""),708.0)</f>
        <v>708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совместную работу")</f>
        <v>Задачи на совместную работу</v>
      </c>
      <c r="V9" s="1">
        <f>IFERROR(__xludf.DUMMYFUNCTION("""COMPUTED_VALUE"""),1008.0)</f>
        <v>1008</v>
      </c>
      <c r="W9" s="1" t="str">
        <f>IFERROR(__xludf.DUMMYFUNCTION("""COMPUTED_VALUE"""),"Сложный процент")</f>
        <v>Сложный процент</v>
      </c>
      <c r="X9" s="1">
        <f>IFERROR(__xludf.DUMMYFUNCTION("""COMPUTED_VALUE"""),1108.0)</f>
        <v>1108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IFERROR(__xludf.DUMMYFUNCTION("""COMPUTED_VALUE"""),"Преобразования графиков тригонометрических функций")</f>
        <v>Преобразования графиков тригонометрических функций</v>
      </c>
      <c r="L10" s="1">
        <f>IFERROR(__xludf.DUMMYFUNCTION("""COMPUTED_VALUE"""),509.0)</f>
        <v>509</v>
      </c>
      <c r="M10" s="1" t="str">
        <f>IFERROR(__xludf.DUMMYFUNCTION("""COMPUTED_VALUE"""),"Перпендикулярные прямые")</f>
        <v>Перпендикулярные прямые</v>
      </c>
      <c r="N10" s="1">
        <f>IFERROR(__xludf.DUMMYFUNCTION("""COMPUTED_VALUE"""),609.0)</f>
        <v>609</v>
      </c>
      <c r="O10" s="1" t="str">
        <f>IFERROR(__xludf.DUMMYFUNCTION("""COMPUTED_VALUE"""),"Координаты вектора")</f>
        <v>Координаты вектора</v>
      </c>
      <c r="P10" s="1">
        <f>IFERROR(__xludf.DUMMYFUNCTION("""COMPUTED_VALUE"""),709.0)</f>
        <v>709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IFERROR(__xludf.DUMMYFUNCTION("""COMPUTED_VALUE"""),"Поочередный и одновременный выбор")</f>
        <v>Поочередный и одновременный выбор</v>
      </c>
      <c r="T10" s="1">
        <f>IFERROR(__xludf.DUMMYFUNCTION("""COMPUTED_VALUE"""),909.0)</f>
        <v>909</v>
      </c>
      <c r="U10" s="1" t="str">
        <f>IFERROR(__xludf.DUMMYFUNCTION("""COMPUTED_VALUE"""),"Задачи на проценты")</f>
        <v>Задачи на проценты</v>
      </c>
      <c r="V10" s="1">
        <f>IFERROR(__xludf.DUMMYFUNCTION("""COMPUTED_VALUE"""),1009.0)</f>
        <v>1009</v>
      </c>
      <c r="W10" s="1" t="str">
        <f>IFERROR(__xludf.DUMMYFUNCTION("""COMPUTED_VALUE"""),"Что такое параметр")</f>
        <v>Что такое параметр</v>
      </c>
      <c r="X10" s="1">
        <f>IFERROR(__xludf.DUMMYFUNCTION("""COMPUTED_VALUE"""),1109.0)</f>
        <v>1109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IFERROR(__xludf.DUMMYFUNCTION("""COMPUTED_VALUE"""),"Функции у = tg х у = ctg x их свойства и графики")</f>
        <v>Функции у = tg х у = ctg x их свойства и графики</v>
      </c>
      <c r="L11" s="1">
        <f>IFERROR(__xludf.DUMMYFUNCTION("""COMPUTED_VALUE"""),510.0)</f>
        <v>510</v>
      </c>
      <c r="M11" s="1" t="str">
        <f>IFERROR(__xludf.DUMMYFUNCTION("""COMPUTED_VALUE"""),"Понятие треугольника")</f>
        <v>Понятие треугольника</v>
      </c>
      <c r="N11" s="1">
        <f>IFERROR(__xludf.DUMMYFUNCTION("""COMPUTED_VALUE"""),610.0)</f>
        <v>610</v>
      </c>
      <c r="O11" s="1" t="str">
        <f>IFERROR(__xludf.DUMMYFUNCTION("""COMPUTED_VALUE"""),"Связь между координатами вектора и координатами его начала и конца")</f>
        <v>Связь между координатами вектора и координатами его начала и конца</v>
      </c>
      <c r="P11" s="1">
        <f>IFERROR(__xludf.DUMMYFUNCTION("""COMPUTED_VALUE"""),710.0)</f>
        <v>710</v>
      </c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сочетаний")</f>
        <v>Формула числа сочетаний</v>
      </c>
      <c r="T11" s="1">
        <f>IFERROR(__xludf.DUMMYFUNCTION("""COMPUTED_VALUE"""),910.0)</f>
        <v>910</v>
      </c>
      <c r="U11" s="1" t="str">
        <f>IFERROR(__xludf.DUMMYFUNCTION("""COMPUTED_VALUE"""),"Задача на нахождение скорости и ускорения тела")</f>
        <v>Задача на нахождение скорости и ускорения тела</v>
      </c>
      <c r="V11" s="1">
        <f>IFERROR(__xludf.DUMMYFUNCTION("""COMPUTED_VALUE"""),1010.0)</f>
        <v>1010</v>
      </c>
      <c r="W11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X11" s="1">
        <f>IFERROR(__xludf.DUMMYFUNCTION("""COMPUTED_VALUE"""),1110.0)</f>
        <v>1110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12" s="1">
        <f>IFERROR(__xludf.DUMMYFUNCTION("""COMPUTED_VALUE"""),511.0)</f>
        <v>511</v>
      </c>
      <c r="M12" s="1" t="str">
        <f>IFERROR(__xludf.DUMMYFUNCTION("""COMPUTED_VALUE"""),"Медиана треугольника")</f>
        <v>Медиана треугольника</v>
      </c>
      <c r="N12" s="1">
        <f>IFERROR(__xludf.DUMMYFUNCTION("""COMPUTED_VALUE"""),611.0)</f>
        <v>611</v>
      </c>
      <c r="O12" s="1" t="str">
        <f>IFERROR(__xludf.DUMMYFUNCTION("""COMPUTED_VALUE"""),"Формулы для вычисления координат точки")</f>
        <v>Формулы для вычисления координат точки</v>
      </c>
      <c r="P12" s="1">
        <f>IFERROR(__xludf.DUMMYFUNCTION("""COMPUTED_VALUE"""),711.0)</f>
        <v>711</v>
      </c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IFERROR(__xludf.DUMMYFUNCTION("""COMPUTED_VALUE"""),"Формула числа перестановок")</f>
        <v>Формула числа перестановок</v>
      </c>
      <c r="T12" s="1">
        <f>IFERROR(__xludf.DUMMYFUNCTION("""COMPUTED_VALUE"""),911.0)</f>
        <v>911</v>
      </c>
      <c r="U12" s="1" t="str">
        <f>IFERROR(__xludf.DUMMYFUNCTION("""COMPUTED_VALUE"""),"Задачи на смеси и сплавы")</f>
        <v>Задачи на смеси и сплавы</v>
      </c>
      <c r="V12" s="1">
        <f>IFERROR(__xludf.DUMMYFUNCTION("""COMPUTED_VALUE"""),1011.0)</f>
        <v>1011</v>
      </c>
      <c r="W12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X12" s="1">
        <f>IFERROR(__xludf.DUMMYFUNCTION("""COMPUTED_VALUE"""),1111.0)</f>
        <v>1111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IFERROR(__xludf.DUMMYFUNCTION("""COMPUTED_VALUE"""),"Тангенс суммы и разности аргументов")</f>
        <v>Тангенс суммы и разности аргументов</v>
      </c>
      <c r="L13" s="1">
        <f>IFERROR(__xludf.DUMMYFUNCTION("""COMPUTED_VALUE"""),512.0)</f>
        <v>512</v>
      </c>
      <c r="M13" s="1" t="str">
        <f>IFERROR(__xludf.DUMMYFUNCTION("""COMPUTED_VALUE"""),"Биссектриса треугольника")</f>
        <v>Биссектриса треугольника</v>
      </c>
      <c r="N13" s="1">
        <f>IFERROR(__xludf.DUMMYFUNCTION("""COMPUTED_VALUE"""),612.0)</f>
        <v>612</v>
      </c>
      <c r="O13" s="1" t="str">
        <f>IFERROR(__xludf.DUMMYFUNCTION("""COMPUTED_VALUE"""),"Угол между векторами")</f>
        <v>Угол между векторами</v>
      </c>
      <c r="P13" s="1">
        <f>IFERROR(__xludf.DUMMYFUNCTION("""COMPUTED_VALUE"""),712.0)</f>
        <v>712</v>
      </c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 Ньютона")</f>
        <v>Бином Ньютона</v>
      </c>
      <c r="T13" s="1">
        <f>IFERROR(__xludf.DUMMYFUNCTION("""COMPUTED_VALUE"""),912.0)</f>
        <v>912</v>
      </c>
      <c r="U13" s="1" t="str">
        <f>IFERROR(__xludf.DUMMYFUNCTION("""COMPUTED_VALUE"""),"Задачи на среднюю скорость")</f>
        <v>Задачи на среднюю скорость</v>
      </c>
      <c r="V13" s="1">
        <f>IFERROR(__xludf.DUMMYFUNCTION("""COMPUTED_VALUE"""),1012.0)</f>
        <v>1012</v>
      </c>
      <c r="W13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X13" s="1">
        <f>IFERROR(__xludf.DUMMYFUNCTION("""COMPUTED_VALUE"""),1112.0)</f>
        <v>1112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IFERROR(__xludf.DUMMYFUNCTION("""COMPUTED_VALUE"""),"Формулы двойного аргумента")</f>
        <v>Формулы двойного аргумента</v>
      </c>
      <c r="L14" s="1">
        <f>IFERROR(__xludf.DUMMYFUNCTION("""COMPUTED_VALUE"""),513.0)</f>
        <v>513</v>
      </c>
      <c r="M14" s="1" t="str">
        <f>IFERROR(__xludf.DUMMYFUNCTION("""COMPUTED_VALUE"""),"Высота треугольника")</f>
        <v>Высота треугольника</v>
      </c>
      <c r="N14" s="1">
        <f>IFERROR(__xludf.DUMMYFUNCTION("""COMPUTED_VALUE"""),613.0)</f>
        <v>613</v>
      </c>
      <c r="O14" s="1" t="str">
        <f>IFERROR(__xludf.DUMMYFUNCTION("""COMPUTED_VALUE"""),"Скалярное произведение векторов, свойства")</f>
        <v>Скалярное произведение векторов, свойства</v>
      </c>
      <c r="P14" s="1">
        <f>IFERROR(__xludf.DUMMYFUNCTION("""COMPUTED_VALUE"""),713.0)</f>
        <v>713</v>
      </c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IFERROR(__xludf.DUMMYFUNCTION("""COMPUTED_VALUE"""),"Биноминальное распределение")</f>
        <v>Биноминальное распределение</v>
      </c>
      <c r="T14" s="1">
        <f>IFERROR(__xludf.DUMMYFUNCTION("""COMPUTED_VALUE"""),913.0)</f>
        <v>913</v>
      </c>
      <c r="U14" s="1" t="str">
        <f>IFERROR(__xludf.DUMMYFUNCTION("""COMPUTED_VALUE"""),"Скорость сближения и скорость отдаления")</f>
        <v>Скорость сближения и скорость отдаления</v>
      </c>
      <c r="V14" s="1">
        <f>IFERROR(__xludf.DUMMYFUNCTION("""COMPUTED_VALUE"""),1013.0)</f>
        <v>1013</v>
      </c>
      <c r="W14" s="1" t="str">
        <f>IFERROR(__xludf.DUMMYFUNCTION("""COMPUTED_VALUE"""),"Системы уравнений с параметрами")</f>
        <v>Системы уравнений с параметрами</v>
      </c>
      <c r="X14" s="1">
        <f>IFERROR(__xludf.DUMMYFUNCTION("""COMPUTED_VALUE"""),1113.0)</f>
        <v>1113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5" s="1">
        <f>IFERROR(__xludf.DUMMYFUNCTION("""COMPUTED_VALUE"""),514.0)</f>
        <v>514</v>
      </c>
      <c r="M15" s="1" t="str">
        <f>IFERROR(__xludf.DUMMYFUNCTION("""COMPUTED_VALUE"""),"Перпендикуляр к прямой")</f>
        <v>Перпендикуляр к прямой</v>
      </c>
      <c r="N15" s="1">
        <f>IFERROR(__xludf.DUMMYFUNCTION("""COMPUTED_VALUE"""),614.0)</f>
        <v>614</v>
      </c>
      <c r="O15" s="1" t="str">
        <f>IFERROR(__xludf.DUMMYFUNCTION("""COMPUTED_VALUE"""),"Модуль вектора")</f>
        <v>Модуль вектора</v>
      </c>
      <c r="P15" s="1">
        <f>IFERROR(__xludf.DUMMYFUNCTION("""COMPUTED_VALUE"""),730.0)</f>
        <v>730</v>
      </c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IFERROR(__xludf.DUMMYFUNCTION("""COMPUTED_VALUE"""),"Свойства биноминального распределения")</f>
        <v>Свойства биноминального распределения</v>
      </c>
      <c r="T15" s="1">
        <f>IFERROR(__xludf.DUMMYFUNCTION("""COMPUTED_VALUE"""),914.0)</f>
        <v>914</v>
      </c>
      <c r="U15" s="1" t="str">
        <f>IFERROR(__xludf.DUMMYFUNCTION("""COMPUTED_VALUE"""),"Задачи на относительную скорость")</f>
        <v>Задачи на относительную скорость</v>
      </c>
      <c r="V15" s="1">
        <f>IFERROR(__xludf.DUMMYFUNCTION("""COMPUTED_VALUE"""),1014.0)</f>
        <v>1014</v>
      </c>
      <c r="W15" s="1" t="str">
        <f>IFERROR(__xludf.DUMMYFUNCTION("""COMPUTED_VALUE"""),"Иррациональные уравнения с параметрами")</f>
        <v>Иррациональные уравнения с параметрами</v>
      </c>
      <c r="X15" s="1">
        <f>IFERROR(__xludf.DUMMYFUNCTION("""COMPUTED_VALUE"""),1114.0)</f>
        <v>1114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6" s="1">
        <f>IFERROR(__xludf.DUMMYFUNCTION("""COMPUTED_VALUE"""),515.0)</f>
        <v>515</v>
      </c>
      <c r="M16" s="1" t="str">
        <f>IFERROR(__xludf.DUMMYFUNCTION("""COMPUTED_VALUE"""),"Равнобедренный треугольник")</f>
        <v>Равнобедренный треугольник</v>
      </c>
      <c r="N16" s="1">
        <f>IFERROR(__xludf.DUMMYFUNCTION("""COMPUTED_VALUE"""),615.0)</f>
        <v>615</v>
      </c>
      <c r="O16" s="1" t="str">
        <f>IFERROR(__xludf.DUMMYFUNCTION("""COMPUTED_VALUE"""),"Векторы и координаты в пространстве")</f>
        <v>Векторы и координаты в пространстве</v>
      </c>
      <c r="P16" s="1">
        <f>IFERROR(__xludf.DUMMYFUNCTION("""COMPUTED_VALUE"""),732.0)</f>
        <v>732</v>
      </c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6" s="1">
        <f>IFERROR(__xludf.DUMMYFUNCTION("""COMPUTED_VALUE"""),915.0)</f>
        <v>915</v>
      </c>
      <c r="U16" s="1" t="str">
        <f>IFERROR(__xludf.DUMMYFUNCTION("""COMPUTED_VALUE"""),"Задачи на прогрессии")</f>
        <v>Задачи на прогрессии</v>
      </c>
      <c r="V16" s="1">
        <f>IFERROR(__xludf.DUMMYFUNCTION("""COMPUTED_VALUE"""),1015.0)</f>
        <v>1015</v>
      </c>
      <c r="W16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X16" s="1">
        <f>IFERROR(__xludf.DUMMYFUNCTION("""COMPUTED_VALUE"""),1115.0)</f>
        <v>1115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IFERROR(__xludf.DUMMYFUNCTION("""COMPUTED_VALUE"""),"Формулы понижения степени")</f>
        <v>Формулы понижения степени</v>
      </c>
      <c r="L17" s="1">
        <f>IFERROR(__xludf.DUMMYFUNCTION("""COMPUTED_VALUE"""),516.0)</f>
        <v>516</v>
      </c>
      <c r="M17" s="1" t="str">
        <f>IFERROR(__xludf.DUMMYFUNCTION("""COMPUTED_VALUE"""),"Свойства равнобедренного треугольника")</f>
        <v>Свойства равнобедренного треугольника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7" s="1">
        <f>IFERROR(__xludf.DUMMYFUNCTION("""COMPUTED_VALUE"""),916.0)</f>
        <v>916</v>
      </c>
      <c r="U17" s="1" t="str">
        <f>IFERROR(__xludf.DUMMYFUNCTION("""COMPUTED_VALUE"""),"Задачи на круговое движение")</f>
        <v>Задачи на круговое движение</v>
      </c>
      <c r="V17" s="1">
        <f>IFERROR(__xludf.DUMMYFUNCTION("""COMPUTED_VALUE"""),1016.0)</f>
        <v>1016</v>
      </c>
      <c r="W17" s="1" t="str">
        <f>IFERROR(__xludf.DUMMYFUNCTION("""COMPUTED_VALUE"""),"Системы неравенств с параметром")</f>
        <v>Системы неравенств с параметром</v>
      </c>
      <c r="X17" s="1">
        <f>IFERROR(__xludf.DUMMYFUNCTION("""COMPUTED_VALUE"""),1116.0)</f>
        <v>1116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8" s="1">
        <f>IFERROR(__xludf.DUMMYFUNCTION("""COMPUTED_VALUE"""),517.0)</f>
        <v>517</v>
      </c>
      <c r="M18" s="1" t="str">
        <f>IFERROR(__xludf.DUMMYFUNCTION("""COMPUTED_VALUE"""),"Признаки равенства треугольников")</f>
        <v>Признаки равенства треугольников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IFERROR(__xludf.DUMMYFUNCTION("""COMPUTED_VALUE"""),"Числовые характеристики рядов данных")</f>
        <v>Числовые характеристики рядов данных</v>
      </c>
      <c r="T18" s="1">
        <f>IFERROR(__xludf.DUMMYFUNCTION("""COMPUTED_VALUE"""),917.0)</f>
        <v>917</v>
      </c>
      <c r="U18" s="1" t="str">
        <f>IFERROR(__xludf.DUMMYFUNCTION("""COMPUTED_VALUE"""),"Задачи на смекалку")</f>
        <v>Задачи на смекалку</v>
      </c>
      <c r="V18" s="1">
        <f>IFERROR(__xludf.DUMMYFUNCTION("""COMPUTED_VALUE"""),1017.0)</f>
        <v>1017</v>
      </c>
      <c r="W18" s="1" t="str">
        <f>IFERROR(__xludf.DUMMYFUNCTION("""COMPUTED_VALUE"""),"Квадратичные неравенства с параметрами")</f>
        <v>Квадратичные неравенства с параметрами</v>
      </c>
      <c r="X18" s="1">
        <f>IFERROR(__xludf.DUMMYFUNCTION("""COMPUTED_VALUE"""),1117.0)</f>
        <v>1117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9" s="1">
        <f>IFERROR(__xludf.DUMMYFUNCTION("""COMPUTED_VALUE"""),518.0)</f>
        <v>518</v>
      </c>
      <c r="M19" s="1" t="str">
        <f>IFERROR(__xludf.DUMMYFUNCTION("""COMPUTED_VALUE"""),"Равносторонний треугольник")</f>
        <v>Равносторонний треугольник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IFERROR(__xludf.DUMMYFUNCTION("""COMPUTED_VALUE"""),"Среднее")</f>
        <v>Среднее</v>
      </c>
      <c r="T19" s="1">
        <f>IFERROR(__xludf.DUMMYFUNCTION("""COMPUTED_VALUE"""),918.0)</f>
        <v>918</v>
      </c>
      <c r="U19" s="1" t="str">
        <f>IFERROR(__xludf.DUMMYFUNCTION("""COMPUTED_VALUE"""),"Формула числа размещений")</f>
        <v>Формула числа размещений</v>
      </c>
      <c r="V19" s="1">
        <f>IFERROR(__xludf.DUMMYFUNCTION("""COMPUTED_VALUE"""),1018.0)</f>
        <v>1018</v>
      </c>
      <c r="W19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X19" s="1">
        <f>IFERROR(__xludf.DUMMYFUNCTION("""COMPUTED_VALUE"""),1118.0)</f>
        <v>1118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20" s="1">
        <f>IFERROR(__xludf.DUMMYFUNCTION("""COMPUTED_VALUE"""),519.0)</f>
        <v>519</v>
      </c>
      <c r="M20" s="1" t="str">
        <f>IFERROR(__xludf.DUMMYFUNCTION("""COMPUTED_VALUE"""),"Окружность")</f>
        <v>Окружность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IFERROR(__xludf.DUMMYFUNCTION("""COMPUTED_VALUE"""),"Наибольшее и наименьшее значение")</f>
        <v>Наибольшее и наименьшее значение</v>
      </c>
      <c r="T20" s="1">
        <f>IFERROR(__xludf.DUMMYFUNCTION("""COMPUTED_VALUE"""),919.0)</f>
        <v>919</v>
      </c>
      <c r="U20" s="1"/>
      <c r="V20" s="1"/>
      <c r="W20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X20" s="1">
        <f>IFERROR(__xludf.DUMMYFUNCTION("""COMPUTED_VALUE"""),1119.0)</f>
        <v>1119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21" s="1">
        <f>IFERROR(__xludf.DUMMYFUNCTION("""COMPUTED_VALUE"""),520.0)</f>
        <v>520</v>
      </c>
      <c r="M21" s="1" t="str">
        <f>IFERROR(__xludf.DUMMYFUNCTION("""COMPUTED_VALUE"""),"Определение параллельных прямых")</f>
        <v>Определение параллельных прямых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IFERROR(__xludf.DUMMYFUNCTION("""COMPUTED_VALUE"""),"Размах")</f>
        <v>Размах</v>
      </c>
      <c r="T21" s="1">
        <f>IFERROR(__xludf.DUMMYFUNCTION("""COMPUTED_VALUE"""),920.0)</f>
        <v>920</v>
      </c>
      <c r="U21" s="1"/>
      <c r="V21" s="1"/>
      <c r="W21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X21" s="1">
        <f>IFERROR(__xludf.DUMMYFUNCTION("""COMPUTED_VALUE"""),1120.0)</f>
        <v>1120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IFERROR(__xludf.DUMMYFUNCTION("""COMPUTED_VALUE"""),"Уравнения, приводящиеся к квадратным")</f>
        <v>Уравнения, приводящиеся к квадратным</v>
      </c>
      <c r="L22" s="1">
        <f>IFERROR(__xludf.DUMMYFUNCTION("""COMPUTED_VALUE"""),521.0)</f>
        <v>521</v>
      </c>
      <c r="M22" s="1" t="str">
        <f>IFERROR(__xludf.DUMMYFUNCTION("""COMPUTED_VALUE"""),"Признаки параллельности двух прямых")</f>
        <v>Признаки параллельности двух прямых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IFERROR(__xludf.DUMMYFUNCTION("""COMPUTED_VALUE"""),"Дисперсия")</f>
        <v>Дисперсия</v>
      </c>
      <c r="T22" s="1">
        <f>IFERROR(__xludf.DUMMYFUNCTION("""COMPUTED_VALUE"""),921.0)</f>
        <v>921</v>
      </c>
      <c r="U22" s="1"/>
      <c r="V22" s="1"/>
      <c r="W22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X22" s="1">
        <f>IFERROR(__xludf.DUMMYFUNCTION("""COMPUTED_VALUE"""),1121.0)</f>
        <v>1121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23" s="1">
        <f>IFERROR(__xludf.DUMMYFUNCTION("""COMPUTED_VALUE"""),522.0)</f>
        <v>522</v>
      </c>
      <c r="M23" s="1" t="str">
        <f>IFERROR(__xludf.DUMMYFUNCTION("""COMPUTED_VALUE"""),"Аксиома параллельных прямых")</f>
        <v>Аксиома параллельных прямых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IFERROR(__xludf.DUMMYFUNCTION("""COMPUTED_VALUE"""),"Стандарнное отклонение")</f>
        <v>Стандарнное отклонение</v>
      </c>
      <c r="T23" s="1">
        <f>IFERROR(__xludf.DUMMYFUNCTION("""COMPUTED_VALUE"""),922.0)</f>
        <v>922</v>
      </c>
      <c r="U23" s="1"/>
      <c r="V23" s="1"/>
      <c r="W23" s="1" t="str">
        <f>IFERROR(__xludf.DUMMYFUNCTION("""COMPUTED_VALUE"""),"Метод областей")</f>
        <v>Метод областей</v>
      </c>
      <c r="X23" s="1">
        <f>IFERROR(__xludf.DUMMYFUNCTION("""COMPUTED_VALUE"""),1122.0)</f>
        <v>1122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24" s="1">
        <f>IFERROR(__xludf.DUMMYFUNCTION("""COMPUTED_VALUE"""),523.0)</f>
        <v>523</v>
      </c>
      <c r="M24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IFERROR(__xludf.DUMMYFUNCTION("""COMPUTED_VALUE"""),"Вычислиение вероятностей в опытах с равновозможными элементарными исходами")</f>
        <v>Вычислиение вероятностей в опытах с равновозможными элементарными исходами</v>
      </c>
      <c r="T24" s="1">
        <f>IFERROR(__xludf.DUMMYFUNCTION("""COMPUTED_VALUE"""),923.0)</f>
        <v>923</v>
      </c>
      <c r="U24" s="1"/>
      <c r="V24" s="1"/>
      <c r="W24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X24" s="1">
        <f>IFERROR(__xludf.DUMMYFUNCTION("""COMPUTED_VALUE"""),1123.0)</f>
        <v>1123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5" s="1">
        <f>IFERROR(__xludf.DUMMYFUNCTION("""COMPUTED_VALUE"""),524.0)</f>
        <v>524</v>
      </c>
      <c r="M25" s="1" t="str">
        <f>IFERROR(__xludf.DUMMYFUNCTION("""COMPUTED_VALUE"""),"Углы с соответственно параллельными или перпендикулярными сторонами")</f>
        <v>Углы с соответственно параллельными или перпендикулярными сторонами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IFERROR(__xludf.DUMMYFUNCTION("""COMPUTED_VALUE"""),"Вычисление частот")</f>
        <v>Вычисление частот</v>
      </c>
      <c r="T25" s="1">
        <f>IFERROR(__xludf.DUMMYFUNCTION("""COMPUTED_VALUE"""),924.0)</f>
        <v>924</v>
      </c>
      <c r="U25" s="1"/>
      <c r="V25" s="1"/>
      <c r="W25" s="1" t="str">
        <f>IFERROR(__xludf.DUMMYFUNCTION("""COMPUTED_VALUE"""),"Метод упрощающего значения")</f>
        <v>Метод упрощающего значения</v>
      </c>
      <c r="X25" s="1">
        <f>IFERROR(__xludf.DUMMYFUNCTION("""COMPUTED_VALUE"""),1124.0)</f>
        <v>1124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6" s="1">
        <f>IFERROR(__xludf.DUMMYFUNCTION("""COMPUTED_VALUE"""),525.0)</f>
        <v>525</v>
      </c>
      <c r="M26" s="1" t="str">
        <f>IFERROR(__xludf.DUMMYFUNCTION("""COMPUTED_VALUE"""),"Теорема о сумме углов треугольника")</f>
        <v>Теорема о сумме углов треугольника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IFERROR(__xludf.DUMMYFUNCTION("""COMPUTED_VALUE"""),"Вычисление вероятностей событий")</f>
        <v>Вычисление вероятностей событий</v>
      </c>
      <c r="T26" s="1">
        <f>IFERROR(__xludf.DUMMYFUNCTION("""COMPUTED_VALUE"""),925.0)</f>
        <v>925</v>
      </c>
      <c r="U26" s="1"/>
      <c r="V26" s="1"/>
      <c r="W26" s="1" t="str">
        <f>IFERROR(__xludf.DUMMYFUNCTION("""COMPUTED_VALUE"""),"Параметр как переменная")</f>
        <v>Параметр как переменная</v>
      </c>
      <c r="X26" s="1">
        <f>IFERROR(__xludf.DUMMYFUNCTION("""COMPUTED_VALUE"""),1125.0)</f>
        <v>1125</v>
      </c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7" s="1">
        <f>IFERROR(__xludf.DUMMYFUNCTION("""COMPUTED_VALUE"""),526.0)</f>
        <v>526</v>
      </c>
      <c r="M27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7" s="1">
        <f>IFERROR(__xludf.DUMMYFUNCTION("""COMPUTED_VALUE"""),926.0)</f>
        <v>926</v>
      </c>
      <c r="U27" s="1"/>
      <c r="V27" s="1"/>
      <c r="W27" s="1" t="str">
        <f>IFERROR(__xludf.DUMMYFUNCTION("""COMPUTED_VALUE"""),"Тригонометрические подстановки")</f>
        <v>Тригонометрические подстановки</v>
      </c>
      <c r="X27" s="1">
        <f>IFERROR(__xludf.DUMMYFUNCTION("""COMPUTED_VALUE"""),1126.0)</f>
        <v>1126</v>
      </c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IFERROR(__xludf.DUMMYFUNCTION("""COMPUTED_VALUE"""),"Системы неравенств")</f>
        <v>Системы неравенств</v>
      </c>
      <c r="F28" s="1">
        <f>IFERROR(__xludf.DUMMYFUNCTION("""COMPUTED_VALUE"""),227.0)</f>
        <v>227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 t="str">
        <f>IFERROR(__xludf.DUMMYFUNCTION("""COMPUTED_VALUE"""),"Чётность, нечётность")</f>
        <v>Чётность, нечётность</v>
      </c>
      <c r="L28" s="1">
        <f>IFERROR(__xludf.DUMMYFUNCTION("""COMPUTED_VALUE"""),527.0)</f>
        <v>527</v>
      </c>
      <c r="M28" s="1" t="str">
        <f>IFERROR(__xludf.DUMMYFUNCTION("""COMPUTED_VALUE"""),"Теорема о соотношениях между сторонами и углами треугольника")</f>
        <v>Теорема о соотношениях между сторонами и углами треугольника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8" s="1">
        <f>IFERROR(__xludf.DUMMYFUNCTION("""COMPUTED_VALUE"""),927.0)</f>
        <v>927</v>
      </c>
      <c r="U28" s="1"/>
      <c r="V28" s="1"/>
      <c r="W28" s="1" t="str">
        <f>IFERROR(__xludf.DUMMYFUNCTION("""COMPUTED_VALUE"""),"Векторные интерпретации")</f>
        <v>Векторные интерпретации</v>
      </c>
      <c r="X28" s="1">
        <f>IFERROR(__xludf.DUMMYFUNCTION("""COMPUTED_VALUE"""),1127.0)</f>
        <v>1127</v>
      </c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IFERROR(__xludf.DUMMYFUNCTION("""COMPUTED_VALUE"""),"Смешанные неравенства")</f>
        <v>Смешанные неравенства</v>
      </c>
      <c r="F29" s="1">
        <f>IFERROR(__xludf.DUMMYFUNCTION("""COMPUTED_VALUE"""),228.0)</f>
        <v>228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 t="str">
        <f>IFERROR(__xludf.DUMMYFUNCTION("""COMPUTED_VALUE"""),"""Правило лошади""")</f>
        <v>"Правило лошади"</v>
      </c>
      <c r="L29" s="1">
        <f>IFERROR(__xludf.DUMMYFUNCTION("""COMPUTED_VALUE"""),528.0)</f>
        <v>528</v>
      </c>
      <c r="M29" s="1" t="str">
        <f>IFERROR(__xludf.DUMMYFUNCTION("""COMPUTED_VALUE"""),"Неравенство треугольника")</f>
        <v>Неравенство треугольника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IFERROR(__xludf.DUMMYFUNCTION("""COMPUTED_VALUE"""),"Использование диаграмм Эйлера")</f>
        <v>Использование диаграмм Эйлера</v>
      </c>
      <c r="T29" s="1">
        <f>IFERROR(__xludf.DUMMYFUNCTION("""COMPUTED_VALUE"""),928.0)</f>
        <v>928</v>
      </c>
      <c r="U29" s="1"/>
      <c r="V29" s="1"/>
      <c r="W2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X29" s="1">
        <f>IFERROR(__xludf.DUMMYFUNCTION("""COMPUTED_VALUE"""),1128.0)</f>
        <v>1128</v>
      </c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30" s="1">
        <f>IFERROR(__xludf.DUMMYFUNCTION("""COMPUTED_VALUE"""),229.0)</f>
        <v>229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30" s="1">
        <f>IFERROR(__xludf.DUMMYFUNCTION("""COMPUTED_VALUE"""),529.0)</f>
        <v>529</v>
      </c>
      <c r="M30" s="1" t="str">
        <f>IFERROR(__xludf.DUMMYFUNCTION("""COMPUTED_VALUE"""),"Прямоугольные треугольники")</f>
        <v>Прямоугольные треугольники</v>
      </c>
      <c r="N30" s="1">
        <f>IFERROR(__xludf.DUMMYFUNCTION("""COMPUTED_VALUE"""),629.0)</f>
        <v>629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 t="str">
        <f>IFERROR(__xludf.DUMMYFUNCTION("""COMPUTED_VALUE"""),"Использование дерева вероятностей")</f>
        <v>Использование дерева вероятностей</v>
      </c>
      <c r="T30" s="1">
        <f>IFERROR(__xludf.DUMMYFUNCTION("""COMPUTED_VALUE"""),929.0)</f>
        <v>929</v>
      </c>
      <c r="U30" s="1"/>
      <c r="V30" s="1"/>
      <c r="W3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X30" s="1">
        <f>IFERROR(__xludf.DUMMYFUNCTION("""COMPUTED_VALUE"""),1129.0)</f>
        <v>1129</v>
      </c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IFERROR(__xludf.DUMMYFUNCTION("""COMPUTED_VALUE"""),"Задачи с числовой прямой")</f>
        <v>Задачи с числовой прямой</v>
      </c>
      <c r="F31" s="1">
        <f>IFERROR(__xludf.DUMMYFUNCTION("""COMPUTED_VALUE"""),230.0)</f>
        <v>230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31" s="1">
        <f>IFERROR(__xludf.DUMMYFUNCTION("""COMPUTED_VALUE"""),530.0)</f>
        <v>530</v>
      </c>
      <c r="M31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31" s="1">
        <f>IFERROR(__xludf.DUMMYFUNCTION("""COMPUTED_VALUE"""),630.0)</f>
        <v>630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 t="str">
        <f>IFERROR(__xludf.DUMMYFUNCTION("""COMPUTED_VALUE"""),"Использование формулы Бернулли")</f>
        <v>Использование формулы Бернулли</v>
      </c>
      <c r="T31" s="1">
        <f>IFERROR(__xludf.DUMMYFUNCTION("""COMPUTED_VALUE"""),930.0)</f>
        <v>930</v>
      </c>
      <c r="U31" s="1"/>
      <c r="V31" s="1"/>
      <c r="W31" s="1" t="str">
        <f>IFERROR(__xludf.DUMMYFUNCTION("""COMPUTED_VALUE"""),"Разложение на множители")</f>
        <v>Разложение на множители</v>
      </c>
      <c r="X31" s="1">
        <f>IFERROR(__xludf.DUMMYFUNCTION("""COMPUTED_VALUE"""),1130.0)</f>
        <v>1130</v>
      </c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/>
      <c r="F32" s="1"/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32" s="1">
        <f>IFERROR(__xludf.DUMMYFUNCTION("""COMPUTED_VALUE"""),531.0)</f>
        <v>531</v>
      </c>
      <c r="M32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32" s="1">
        <f>IFERROR(__xludf.DUMMYFUNCTION("""COMPUTED_VALUE"""),631.0)</f>
        <v>631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 t="str">
        <f>IFERROR(__xludf.DUMMYFUNCTION("""COMPUTED_VALUE"""),"Геометрический смысл вероятностей")</f>
        <v>Геометрический смысл вероятностей</v>
      </c>
      <c r="T32" s="1">
        <f>IFERROR(__xludf.DUMMYFUNCTION("""COMPUTED_VALUE"""),931.0)</f>
        <v>931</v>
      </c>
      <c r="U32" s="1"/>
      <c r="V32" s="1"/>
      <c r="W32" s="1" t="str">
        <f>IFERROR(__xludf.DUMMYFUNCTION("""COMPUTED_VALUE"""),"Теорема Виета для уравнения высокого")</f>
        <v>Теорема Виета для уравнения высокого</v>
      </c>
      <c r="X32" s="1">
        <f>IFERROR(__xludf.DUMMYFUNCTION("""COMPUTED_VALUE"""),1131.0)</f>
        <v>1131</v>
      </c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 t="str">
        <f>IFERROR(__xludf.DUMMYFUNCTION("""COMPUTED_VALUE"""),"Периодичность обратных тригонометрических функций")</f>
        <v>Периодичность обратных тригонометрических функций</v>
      </c>
      <c r="L33" s="1">
        <f>IFERROR(__xludf.DUMMYFUNCTION("""COMPUTED_VALUE"""),532.0)</f>
        <v>532</v>
      </c>
      <c r="M33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3" s="1">
        <f>IFERROR(__xludf.DUMMYFUNCTION("""COMPUTED_VALUE"""),632.0)</f>
        <v>632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X33" s="1">
        <f>IFERROR(__xludf.DUMMYFUNCTION("""COMPUTED_VALUE"""),1132.0)</f>
        <v>1132</v>
      </c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 t="str">
        <f>IFERROR(__xludf.DUMMYFUNCTION("""COMPUTED_VALUE"""),"Четность/ нечетность обратных тригонометрических функций")</f>
        <v>Четность/ нечетность обратных тригонометрических функций</v>
      </c>
      <c r="L34" s="1">
        <f>IFERROR(__xludf.DUMMYFUNCTION("""COMPUTED_VALUE"""),533.0)</f>
        <v>533</v>
      </c>
      <c r="M34" s="1" t="str">
        <f>IFERROR(__xludf.DUMMYFUNCTION("""COMPUTED_VALUE"""),"Расстояние от точки до прямой")</f>
        <v>Расстояние от точки до прямой</v>
      </c>
      <c r="N34" s="1">
        <f>IFERROR(__xludf.DUMMYFUNCTION("""COMPUTED_VALUE"""),633.0)</f>
        <v>633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X34" s="1">
        <f>IFERROR(__xludf.DUMMYFUNCTION("""COMPUTED_VALUE"""),1133.0)</f>
        <v>1133</v>
      </c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IFERROR(__xludf.DUMMYFUNCTION("""COMPUTED_VALUE"""),"Свойства интеграла")</f>
        <v>Свойства интеграла</v>
      </c>
      <c r="H35" s="1">
        <f>IFERROR(__xludf.DUMMYFUNCTION("""COMPUTED_VALUE"""),335.0)</f>
        <v>335</v>
      </c>
      <c r="I35" s="1"/>
      <c r="J35" s="1"/>
      <c r="K35" s="1" t="str">
        <f>IFERROR(__xludf.DUMMYFUNCTION("""COMPUTED_VALUE"""),"Значения обратных тригонометрический функций")</f>
        <v>Значения обратных тригонометрический функций</v>
      </c>
      <c r="L35" s="1">
        <f>IFERROR(__xludf.DUMMYFUNCTION("""COMPUTED_VALUE"""),534.0)</f>
        <v>534</v>
      </c>
      <c r="M35" s="1" t="str">
        <f>IFERROR(__xludf.DUMMYFUNCTION("""COMPUTED_VALUE"""),"Расстояние между параллельными прямыми")</f>
        <v>Расстояние между параллельными прямыми</v>
      </c>
      <c r="N35" s="1">
        <f>IFERROR(__xludf.DUMMYFUNCTION("""COMPUTED_VALUE"""),634.0)</f>
        <v>634</v>
      </c>
      <c r="O35" s="1"/>
      <c r="P35" s="1"/>
      <c r="Q35" s="1" t="str">
        <f>IFERROR(__xludf.DUMMYFUNCTION("""COMPUTED_VALUE"""),"Усеченная пирамида")</f>
        <v>Усеченная пирамида</v>
      </c>
      <c r="R35" s="1">
        <f>IFERROR(__xludf.DUMMYFUNCTION("""COMPUTED_VALUE"""),834.0)</f>
        <v>834</v>
      </c>
      <c r="S35" s="1"/>
      <c r="T35" s="1"/>
      <c r="U35" s="1"/>
      <c r="V35" s="1"/>
      <c r="W35" s="1" t="str">
        <f>IFERROR(__xludf.DUMMYFUNCTION("""COMPUTED_VALUE"""),"Решения, основанные на нахождении наибольших и наименьших значений (метод минимаксов)")</f>
        <v>Решения, основанные на нахождении наибольших и наименьших значений (метод минимаксов)</v>
      </c>
      <c r="X35" s="1">
        <f>IFERROR(__xludf.DUMMYFUNCTION("""COMPUTED_VALUE"""),1134.0)</f>
        <v>1134</v>
      </c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IFERROR(__xludf.DUMMYFUNCTION("""COMPUTED_VALUE"""),"Нахождение площади с помощью интеграла")</f>
        <v>Нахождение площади с помощью интеграла</v>
      </c>
      <c r="H36" s="1">
        <f>IFERROR(__xludf.DUMMYFUNCTION("""COMPUTED_VALUE"""),336.0)</f>
        <v>336</v>
      </c>
      <c r="I36" s="1"/>
      <c r="J36" s="1"/>
      <c r="K36" s="1" t="str">
        <f>IFERROR(__xludf.DUMMYFUNCTION("""COMPUTED_VALUE"""),"Графики обратных тригонометрических функций")</f>
        <v>Графики обратных тригонометрических функций</v>
      </c>
      <c r="L36" s="1">
        <f>IFERROR(__xludf.DUMMYFUNCTION("""COMPUTED_VALUE"""),535.0)</f>
        <v>535</v>
      </c>
      <c r="M36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6" s="1">
        <f>IFERROR(__xludf.DUMMYFUNCTION("""COMPUTED_VALUE"""),635.0)</f>
        <v>635</v>
      </c>
      <c r="O36" s="1"/>
      <c r="P36" s="1"/>
      <c r="Q36" s="1" t="str">
        <f>IFERROR(__xludf.DUMMYFUNCTION("""COMPUTED_VALUE"""),"Понятие конуса")</f>
        <v>Понятие конуса</v>
      </c>
      <c r="R36" s="1">
        <f>IFERROR(__xludf.DUMMYFUNCTION("""COMPUTED_VALUE"""),835.0)</f>
        <v>835</v>
      </c>
      <c r="S36" s="1"/>
      <c r="T36" s="1"/>
      <c r="U36" s="1"/>
      <c r="V36" s="1"/>
      <c r="W36" s="1" t="str">
        <f>IFERROR(__xludf.DUMMYFUNCTION("""COMPUTED_VALUE"""),"Задачи на целые числа")</f>
        <v>Задачи на целые числа</v>
      </c>
      <c r="X36" s="1">
        <f>IFERROR(__xludf.DUMMYFUNCTION("""COMPUTED_VALUE"""),1135.0)</f>
        <v>1135</v>
      </c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IFERROR(__xludf.DUMMYFUNCTION("""COMPUTED_VALUE"""),"Таблица первообразной")</f>
        <v>Таблица первообразной</v>
      </c>
      <c r="H37" s="1">
        <f>IFERROR(__xludf.DUMMYFUNCTION("""COMPUTED_VALUE"""),337.0)</f>
        <v>337</v>
      </c>
      <c r="I37" s="1"/>
      <c r="J37" s="1"/>
      <c r="K37" s="1"/>
      <c r="L37" s="1"/>
      <c r="M37" s="1" t="str">
        <f>IFERROR(__xludf.DUMMYFUNCTION("""COMPUTED_VALUE"""),"Многоугольник")</f>
        <v>Многоугольник</v>
      </c>
      <c r="N37" s="1">
        <f>IFERROR(__xludf.DUMMYFUNCTION("""COMPUTED_VALUE"""),636.0)</f>
        <v>636</v>
      </c>
      <c r="O37" s="1"/>
      <c r="P37" s="1"/>
      <c r="Q37" s="1" t="str">
        <f>IFERROR(__xludf.DUMMYFUNCTION("""COMPUTED_VALUE"""),"Элементы конуса")</f>
        <v>Элементы конуса</v>
      </c>
      <c r="R37" s="1">
        <f>IFERROR(__xludf.DUMMYFUNCTION("""COMPUTED_VALUE"""),836.0)</f>
        <v>836</v>
      </c>
      <c r="S37" s="1"/>
      <c r="T37" s="1"/>
      <c r="U37" s="1"/>
      <c r="V37" s="1"/>
      <c r="W37" s="1" t="str">
        <f>IFERROR(__xludf.DUMMYFUNCTION("""COMPUTED_VALUE"""),"Задачи с целой и дробной частью числа")</f>
        <v>Задачи с целой и дробной частью числа</v>
      </c>
      <c r="X37" s="1">
        <f>IFERROR(__xludf.DUMMYFUNCTION("""COMPUTED_VALUE"""),1136.0)</f>
        <v>1136</v>
      </c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 t="str">
        <f>IFERROR(__xludf.DUMMYFUNCTION("""COMPUTED_VALUE"""),"Правила вычисления первообразных;")</f>
        <v>Правила вычисления первообразных;</v>
      </c>
      <c r="H38" s="1">
        <f>IFERROR(__xludf.DUMMYFUNCTION("""COMPUTED_VALUE"""),338.0)</f>
        <v>338</v>
      </c>
      <c r="I38" s="1"/>
      <c r="J38" s="1"/>
      <c r="K38" s="1"/>
      <c r="L38" s="1"/>
      <c r="M38" s="1" t="str">
        <f>IFERROR(__xludf.DUMMYFUNCTION("""COMPUTED_VALUE"""),"Выпуклый многоугольник")</f>
        <v>Выпуклый многоугольник</v>
      </c>
      <c r="N38" s="1">
        <f>IFERROR(__xludf.DUMMYFUNCTION("""COMPUTED_VALUE"""),637.0)</f>
        <v>637</v>
      </c>
      <c r="O38" s="1"/>
      <c r="P38" s="1"/>
      <c r="Q38" s="1" t="str">
        <f>IFERROR(__xludf.DUMMYFUNCTION("""COMPUTED_VALUE"""),"Свойства конуса")</f>
        <v>Свойства конуса</v>
      </c>
      <c r="R38" s="1">
        <f>IFERROR(__xludf.DUMMYFUNCTION("""COMPUTED_VALUE"""),837.0)</f>
        <v>837</v>
      </c>
      <c r="S38" s="1"/>
      <c r="T38" s="1"/>
      <c r="U38" s="1"/>
      <c r="V38" s="1"/>
      <c r="W38" s="1" t="str">
        <f>IFERROR(__xludf.DUMMYFUNCTION("""COMPUTED_VALUE"""),"Задачи с итерациями")</f>
        <v>Задачи с итерациями</v>
      </c>
      <c r="X38" s="1">
        <f>IFERROR(__xludf.DUMMYFUNCTION("""COMPUTED_VALUE"""),1137.0)</f>
        <v>1137</v>
      </c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9" s="1">
        <f>IFERROR(__xludf.DUMMYFUNCTION("""COMPUTED_VALUE"""),339.0)</f>
        <v>339</v>
      </c>
      <c r="I39" s="1"/>
      <c r="J39" s="1"/>
      <c r="K39" s="1"/>
      <c r="L39" s="1"/>
      <c r="M39" s="1" t="str">
        <f>IFERROR(__xludf.DUMMYFUNCTION("""COMPUTED_VALUE"""),"Четырёхугольник")</f>
        <v>Четырёхугольник</v>
      </c>
      <c r="N39" s="1">
        <f>IFERROR(__xludf.DUMMYFUNCTION("""COMPUTED_VALUE"""),638.0)</f>
        <v>638</v>
      </c>
      <c r="O39" s="1"/>
      <c r="P39" s="1"/>
      <c r="Q39" s="1" t="str">
        <f>IFERROR(__xludf.DUMMYFUNCTION("""COMPUTED_VALUE"""),"Объем конуса")</f>
        <v>Объем конуса</v>
      </c>
      <c r="R39" s="1">
        <f>IFERROR(__xludf.DUMMYFUNCTION("""COMPUTED_VALUE"""),838.0)</f>
        <v>838</v>
      </c>
      <c r="S39" s="1"/>
      <c r="T39" s="1"/>
      <c r="U39" s="1"/>
      <c r="V39" s="1"/>
      <c r="W39" s="1" t="str">
        <f>IFERROR(__xludf.DUMMYFUNCTION("""COMPUTED_VALUE"""),"Задачи с требованием выполнения (или невыполнения) неравенства для всех значений параметра")</f>
        <v>Задачи с требованием выполнения (или невыполнения) неравенства для всех значений параметра</v>
      </c>
      <c r="X39" s="1">
        <f>IFERROR(__xludf.DUMMYFUNCTION("""COMPUTED_VALUE"""),1138.0)</f>
        <v>1138</v>
      </c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 t="str">
        <f>IFERROR(__xludf.DUMMYFUNCTION("""COMPUTED_VALUE"""),"Геометрический смысл первообразной")</f>
        <v>Геометрический смысл первообразной</v>
      </c>
      <c r="H40" s="1">
        <f>IFERROR(__xludf.DUMMYFUNCTION("""COMPUTED_VALUE"""),340.0)</f>
        <v>340</v>
      </c>
      <c r="I40" s="1"/>
      <c r="J40" s="1"/>
      <c r="K40" s="1"/>
      <c r="L40" s="1"/>
      <c r="M40" s="1" t="str">
        <f>IFERROR(__xludf.DUMMYFUNCTION("""COMPUTED_VALUE"""),"Параллелограмм")</f>
        <v>Параллелограмм</v>
      </c>
      <c r="N40" s="1">
        <f>IFERROR(__xludf.DUMMYFUNCTION("""COMPUTED_VALUE"""),639.0)</f>
        <v>639</v>
      </c>
      <c r="O40" s="1"/>
      <c r="P40" s="1"/>
      <c r="Q40" s="1" t="str">
        <f>IFERROR(__xludf.DUMMYFUNCTION("""COMPUTED_VALUE"""),"Площадь элементов конуса")</f>
        <v>Площадь элементов конуса</v>
      </c>
      <c r="R40" s="1">
        <f>IFERROR(__xludf.DUMMYFUNCTION("""COMPUTED_VALUE"""),839.0)</f>
        <v>839</v>
      </c>
      <c r="S40" s="1"/>
      <c r="T40" s="1"/>
      <c r="U40" s="1"/>
      <c r="V40" s="1"/>
      <c r="W40" s="1" t="str">
        <f>IFERROR(__xludf.DUMMYFUNCTION("""COMPUTED_VALUE"""),"Геометрические задачи с элементами алгебры")</f>
        <v>Геометрические задачи с элементами алгебры</v>
      </c>
      <c r="X40" s="1">
        <f>IFERROR(__xludf.DUMMYFUNCTION("""COMPUTED_VALUE"""),1139.0)</f>
        <v>1139</v>
      </c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 t="str">
        <f>IFERROR(__xludf.DUMMYFUNCTION("""COMPUTED_VALUE"""),"Дробно рациональная функция")</f>
        <v>Дробно рациональная функция</v>
      </c>
      <c r="H41" s="1">
        <f>IFERROR(__xludf.DUMMYFUNCTION("""COMPUTED_VALUE"""),341.0)</f>
        <v>341</v>
      </c>
      <c r="I41" s="1"/>
      <c r="J41" s="1"/>
      <c r="K41" s="1"/>
      <c r="L41" s="1"/>
      <c r="M41" s="1" t="str">
        <f>IFERROR(__xludf.DUMMYFUNCTION("""COMPUTED_VALUE"""),"Трапеция")</f>
        <v>Трапеция</v>
      </c>
      <c r="N41" s="1">
        <f>IFERROR(__xludf.DUMMYFUNCTION("""COMPUTED_VALUE"""),640.0)</f>
        <v>640</v>
      </c>
      <c r="O41" s="1"/>
      <c r="P41" s="1"/>
      <c r="Q41" s="1" t="str">
        <f>IFERROR(__xludf.DUMMYFUNCTION("""COMPUTED_VALUE"""),"Усеченный конус")</f>
        <v>Усеченный конус</v>
      </c>
      <c r="R41" s="1">
        <f>IFERROR(__xludf.DUMMYFUNCTION("""COMPUTED_VALUE"""),840.0)</f>
        <v>840</v>
      </c>
      <c r="S41" s="1"/>
      <c r="T41" s="1"/>
      <c r="U41" s="1"/>
      <c r="V41" s="1"/>
      <c r="W41" s="1" t="str">
        <f>IFERROR(__xludf.DUMMYFUNCTION("""COMPUTED_VALUE"""),"Задачи алгебры с использованием геометрии")</f>
        <v>Задачи алгебры с использованием геометрии</v>
      </c>
      <c r="X41" s="1">
        <f>IFERROR(__xludf.DUMMYFUNCTION("""COMPUTED_VALUE"""),1140.0)</f>
        <v>1140</v>
      </c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IFERROR(__xludf.DUMMYFUNCTION("""COMPUTED_VALUE"""),"Прямоугольник")</f>
        <v>Прямоугольник</v>
      </c>
      <c r="N42" s="1">
        <f>IFERROR(__xludf.DUMMYFUNCTION("""COMPUTED_VALUE"""),641.0)</f>
        <v>641</v>
      </c>
      <c r="O42" s="1"/>
      <c r="P42" s="1"/>
      <c r="Q42" s="1" t="str">
        <f>IFERROR(__xludf.DUMMYFUNCTION("""COMPUTED_VALUE"""),"Понятие цилиндра")</f>
        <v>Понятие цилиндра</v>
      </c>
      <c r="R42" s="1">
        <f>IFERROR(__xludf.DUMMYFUNCTION("""COMPUTED_VALUE"""),841.0)</f>
        <v>841</v>
      </c>
      <c r="S42" s="1"/>
      <c r="T42" s="1"/>
      <c r="U42" s="1"/>
      <c r="V42" s="1"/>
      <c r="W42" s="1" t="str">
        <f>IFERROR(__xludf.DUMMYFUNCTION("""COMPUTED_VALUE"""),"Числовые множества")</f>
        <v>Числовые множества</v>
      </c>
      <c r="X42" s="1">
        <f>IFERROR(__xludf.DUMMYFUNCTION("""COMPUTED_VALUE"""),1141.0)</f>
        <v>1141</v>
      </c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IFERROR(__xludf.DUMMYFUNCTION("""COMPUTED_VALUE"""),"Ромб")</f>
        <v>Ромб</v>
      </c>
      <c r="N43" s="1">
        <f>IFERROR(__xludf.DUMMYFUNCTION("""COMPUTED_VALUE"""),642.0)</f>
        <v>642</v>
      </c>
      <c r="O43" s="1"/>
      <c r="P43" s="1"/>
      <c r="Q43" s="1" t="str">
        <f>IFERROR(__xludf.DUMMYFUNCTION("""COMPUTED_VALUE"""),"Элементы цилиндра")</f>
        <v>Элементы цилиндра</v>
      </c>
      <c r="R43" s="1">
        <f>IFERROR(__xludf.DUMMYFUNCTION("""COMPUTED_VALUE"""),842.0)</f>
        <v>842</v>
      </c>
      <c r="S43" s="1"/>
      <c r="T43" s="1"/>
      <c r="U43" s="1"/>
      <c r="V43" s="1"/>
      <c r="W43" s="1" t="str">
        <f>IFERROR(__xludf.DUMMYFUNCTION("""COMPUTED_VALUE"""),"Натуральные числа")</f>
        <v>Натуральные числа</v>
      </c>
      <c r="X43" s="1">
        <f>IFERROR(__xludf.DUMMYFUNCTION("""COMPUTED_VALUE"""),1142.0)</f>
        <v>1142</v>
      </c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IFERROR(__xludf.DUMMYFUNCTION("""COMPUTED_VALUE"""),"Квадрат")</f>
        <v>Квадрат</v>
      </c>
      <c r="N44" s="1">
        <f>IFERROR(__xludf.DUMMYFUNCTION("""COMPUTED_VALUE"""),643.0)</f>
        <v>643</v>
      </c>
      <c r="O44" s="1"/>
      <c r="P44" s="1"/>
      <c r="Q44" s="1" t="str">
        <f>IFERROR(__xludf.DUMMYFUNCTION("""COMPUTED_VALUE"""),"Свойства цилиндра")</f>
        <v>Свойства цилиндра</v>
      </c>
      <c r="R44" s="1">
        <f>IFERROR(__xludf.DUMMYFUNCTION("""COMPUTED_VALUE"""),843.0)</f>
        <v>843</v>
      </c>
      <c r="S44" s="1"/>
      <c r="T44" s="1"/>
      <c r="U44" s="1"/>
      <c r="V44" s="1"/>
      <c r="W44" s="1" t="str">
        <f>IFERROR(__xludf.DUMMYFUNCTION("""COMPUTED_VALUE"""),"Целые числа")</f>
        <v>Целые числа</v>
      </c>
      <c r="X44" s="1">
        <f>IFERROR(__xludf.DUMMYFUNCTION("""COMPUTED_VALUE"""),1143.0)</f>
        <v>1143</v>
      </c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IFERROR(__xludf.DUMMYFUNCTION("""COMPUTED_VALUE"""),"Осевая и центральная симметрии")</f>
        <v>Осевая и центральная симметрии</v>
      </c>
      <c r="N45" s="1">
        <f>IFERROR(__xludf.DUMMYFUNCTION("""COMPUTED_VALUE"""),644.0)</f>
        <v>644</v>
      </c>
      <c r="O45" s="1"/>
      <c r="P45" s="1"/>
      <c r="Q45" s="1" t="str">
        <f>IFERROR(__xludf.DUMMYFUNCTION("""COMPUTED_VALUE"""),"Объем цилиндра")</f>
        <v>Объем цилиндра</v>
      </c>
      <c r="R45" s="1">
        <f>IFERROR(__xludf.DUMMYFUNCTION("""COMPUTED_VALUE"""),844.0)</f>
        <v>844</v>
      </c>
      <c r="S45" s="1"/>
      <c r="T45" s="1"/>
      <c r="U45" s="1"/>
      <c r="V45" s="1"/>
      <c r="W45" s="1" t="str">
        <f>IFERROR(__xludf.DUMMYFUNCTION("""COMPUTED_VALUE"""),"Рациональные числа")</f>
        <v>Рациональные числа</v>
      </c>
      <c r="X45" s="1">
        <f>IFERROR(__xludf.DUMMYFUNCTION("""COMPUTED_VALUE"""),1144.0)</f>
        <v>1144</v>
      </c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IFERROR(__xludf.DUMMYFUNCTION("""COMPUTED_VALUE"""),"Понятие площади многоугольника")</f>
        <v>Понятие площади многоугольника</v>
      </c>
      <c r="N46" s="1">
        <f>IFERROR(__xludf.DUMMYFUNCTION("""COMPUTED_VALUE"""),645.0)</f>
        <v>645</v>
      </c>
      <c r="O46" s="1"/>
      <c r="P46" s="1"/>
      <c r="Q46" s="1" t="str">
        <f>IFERROR(__xludf.DUMMYFUNCTION("""COMPUTED_VALUE"""),"Площадь элементов цилиндра")</f>
        <v>Площадь элементов цилиндра</v>
      </c>
      <c r="R46" s="1">
        <f>IFERROR(__xludf.DUMMYFUNCTION("""COMPUTED_VALUE"""),845.0)</f>
        <v>845</v>
      </c>
      <c r="S46" s="1"/>
      <c r="T46" s="1"/>
      <c r="U46" s="1"/>
      <c r="V46" s="1"/>
      <c r="W46" s="1" t="str">
        <f>IFERROR(__xludf.DUMMYFUNCTION("""COMPUTED_VALUE"""),"Понятие делимости")</f>
        <v>Понятие делимости</v>
      </c>
      <c r="X46" s="1">
        <f>IFERROR(__xludf.DUMMYFUNCTION("""COMPUTED_VALUE"""),1145.0)</f>
        <v>1145</v>
      </c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IFERROR(__xludf.DUMMYFUNCTION("""COMPUTED_VALUE"""),"Площадь квадрата")</f>
        <v>Площадь квадрата</v>
      </c>
      <c r="N47" s="1">
        <f>IFERROR(__xludf.DUMMYFUNCTION("""COMPUTED_VALUE"""),646.0)</f>
        <v>646</v>
      </c>
      <c r="O47" s="1"/>
      <c r="P47" s="1"/>
      <c r="Q47" s="1" t="str">
        <f>IFERROR(__xludf.DUMMYFUNCTION("""COMPUTED_VALUE"""),"Понятие сферы")</f>
        <v>Понятие сферы</v>
      </c>
      <c r="R47" s="1">
        <f>IFERROR(__xludf.DUMMYFUNCTION("""COMPUTED_VALUE"""),846.0)</f>
        <v>846</v>
      </c>
      <c r="S47" s="1"/>
      <c r="T47" s="1"/>
      <c r="U47" s="1"/>
      <c r="V47" s="1"/>
      <c r="W47" s="1" t="str">
        <f>IFERROR(__xludf.DUMMYFUNCTION("""COMPUTED_VALUE"""),"Признаки делимости чисел")</f>
        <v>Признаки делимости чисел</v>
      </c>
      <c r="X47" s="1">
        <f>IFERROR(__xludf.DUMMYFUNCTION("""COMPUTED_VALUE"""),1146.0)</f>
        <v>1146</v>
      </c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IFERROR(__xludf.DUMMYFUNCTION("""COMPUTED_VALUE"""),"Площадь прямоугольника")</f>
        <v>Площадь прямоугольника</v>
      </c>
      <c r="N48" s="1">
        <f>IFERROR(__xludf.DUMMYFUNCTION("""COMPUTED_VALUE"""),647.0)</f>
        <v>647</v>
      </c>
      <c r="O48" s="1"/>
      <c r="P48" s="1"/>
      <c r="Q48" s="1" t="str">
        <f>IFERROR(__xludf.DUMMYFUNCTION("""COMPUTED_VALUE"""),"Понятие шара")</f>
        <v>Понятие шара</v>
      </c>
      <c r="R48" s="1">
        <f>IFERROR(__xludf.DUMMYFUNCTION("""COMPUTED_VALUE"""),847.0)</f>
        <v>847</v>
      </c>
      <c r="S48" s="1"/>
      <c r="T48" s="1"/>
      <c r="U48" s="1"/>
      <c r="V48" s="1"/>
      <c r="W48" s="1" t="str">
        <f>IFERROR(__xludf.DUMMYFUNCTION("""COMPUTED_VALUE"""),"Определение четности")</f>
        <v>Определение четности</v>
      </c>
      <c r="X48" s="1">
        <f>IFERROR(__xludf.DUMMYFUNCTION("""COMPUTED_VALUE"""),1147.0)</f>
        <v>1147</v>
      </c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IFERROR(__xludf.DUMMYFUNCTION("""COMPUTED_VALUE"""),"Площадь параллелограмма")</f>
        <v>Площадь параллелограмма</v>
      </c>
      <c r="N49" s="1">
        <f>IFERROR(__xludf.DUMMYFUNCTION("""COMPUTED_VALUE"""),648.0)</f>
        <v>648</v>
      </c>
      <c r="O49" s="1"/>
      <c r="P49" s="1"/>
      <c r="Q49" s="1" t="str">
        <f>IFERROR(__xludf.DUMMYFUNCTION("""COMPUTED_VALUE"""),"Площадь сферы")</f>
        <v>Площадь сферы</v>
      </c>
      <c r="R49" s="1">
        <f>IFERROR(__xludf.DUMMYFUNCTION("""COMPUTED_VALUE"""),848.0)</f>
        <v>848</v>
      </c>
      <c r="S49" s="1"/>
      <c r="T49" s="1"/>
      <c r="U49" s="1"/>
      <c r="V49" s="1"/>
      <c r="W49" s="1" t="str">
        <f>IFERROR(__xludf.DUMMYFUNCTION("""COMPUTED_VALUE"""),"Утверждения о четности чисел")</f>
        <v>Утверждения о четности чисел</v>
      </c>
      <c r="X49" s="1">
        <f>IFERROR(__xludf.DUMMYFUNCTION("""COMPUTED_VALUE"""),1148.0)</f>
        <v>1148</v>
      </c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IFERROR(__xludf.DUMMYFUNCTION("""COMPUTED_VALUE"""),"Площадь треугольника")</f>
        <v>Площадь треугольника</v>
      </c>
      <c r="N50" s="1">
        <f>IFERROR(__xludf.DUMMYFUNCTION("""COMPUTED_VALUE"""),649.0)</f>
        <v>649</v>
      </c>
      <c r="O50" s="1"/>
      <c r="P50" s="1"/>
      <c r="Q50" s="1" t="str">
        <f>IFERROR(__xludf.DUMMYFUNCTION("""COMPUTED_VALUE"""),"Объем шара")</f>
        <v>Объем шара</v>
      </c>
      <c r="R50" s="1">
        <f>IFERROR(__xludf.DUMMYFUNCTION("""COMPUTED_VALUE"""),849.0)</f>
        <v>849</v>
      </c>
      <c r="S50" s="1"/>
      <c r="T50" s="1"/>
      <c r="U50" s="1"/>
      <c r="V50" s="1"/>
      <c r="W50" s="1" t="str">
        <f>IFERROR(__xludf.DUMMYFUNCTION("""COMPUTED_VALUE"""),"Деление с остатком")</f>
        <v>Деление с остатком</v>
      </c>
      <c r="X50" s="1">
        <f>IFERROR(__xludf.DUMMYFUNCTION("""COMPUTED_VALUE"""),1149.0)</f>
        <v>1149</v>
      </c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IFERROR(__xludf.DUMMYFUNCTION("""COMPUTED_VALUE"""),"Площадь трапеции")</f>
        <v>Площадь трапеции</v>
      </c>
      <c r="N51" s="1">
        <f>IFERROR(__xludf.DUMMYFUNCTION("""COMPUTED_VALUE"""),650.0)</f>
        <v>650</v>
      </c>
      <c r="O51" s="1"/>
      <c r="P51" s="1"/>
      <c r="Q51" s="1" t="str">
        <f>IFERROR(__xludf.DUMMYFUNCTION("""COMPUTED_VALUE"""),"Объем шарового сегмента")</f>
        <v>Объем шарового сегмента</v>
      </c>
      <c r="R51" s="1">
        <f>IFERROR(__xludf.DUMMYFUNCTION("""COMPUTED_VALUE"""),850.0)</f>
        <v>850</v>
      </c>
      <c r="S51" s="1"/>
      <c r="T51" s="1"/>
      <c r="U51" s="1"/>
      <c r="V51" s="1"/>
      <c r="W51" s="1" t="str">
        <f>IFERROR(__xludf.DUMMYFUNCTION("""COMPUTED_VALUE"""),"Простое число")</f>
        <v>Простое число</v>
      </c>
      <c r="X51" s="1">
        <f>IFERROR(__xludf.DUMMYFUNCTION("""COMPUTED_VALUE"""),1150.0)</f>
        <v>1150</v>
      </c>
      <c r="Y51" s="1"/>
      <c r="Z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IFERROR(__xludf.DUMMYFUNCTION("""COMPUTED_VALUE"""),"Теорема Пифагора")</f>
        <v>Теорема Пифагора</v>
      </c>
      <c r="N52" s="1">
        <f>IFERROR(__xludf.DUMMYFUNCTION("""COMPUTED_VALUE"""),651.0)</f>
        <v>651</v>
      </c>
      <c r="O52" s="1"/>
      <c r="P52" s="1"/>
      <c r="Q52" s="1" t="str">
        <f>IFERROR(__xludf.DUMMYFUNCTION("""COMPUTED_VALUE"""),"Объем шарового слоя")</f>
        <v>Объем шарового слоя</v>
      </c>
      <c r="R52" s="1">
        <f>IFERROR(__xludf.DUMMYFUNCTION("""COMPUTED_VALUE"""),851.0)</f>
        <v>851</v>
      </c>
      <c r="S52" s="1"/>
      <c r="T52" s="1"/>
      <c r="U52" s="1"/>
      <c r="V52" s="1"/>
      <c r="W52" s="1" t="str">
        <f>IFERROR(__xludf.DUMMYFUNCTION("""COMPUTED_VALUE"""),"Составное число")</f>
        <v>Составное число</v>
      </c>
      <c r="X52" s="1">
        <f>IFERROR(__xludf.DUMMYFUNCTION("""COMPUTED_VALUE"""),1151.0)</f>
        <v>1151</v>
      </c>
      <c r="Y52" s="1"/>
      <c r="Z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IFERROR(__xludf.DUMMYFUNCTION("""COMPUTED_VALUE"""),"Теорема, обратная теореме Пифагора")</f>
        <v>Теорема, обратная теореме Пифагора</v>
      </c>
      <c r="N53" s="1">
        <f>IFERROR(__xludf.DUMMYFUNCTION("""COMPUTED_VALUE"""),652.0)</f>
        <v>652</v>
      </c>
      <c r="O53" s="1"/>
      <c r="P53" s="1"/>
      <c r="Q53" s="1" t="str">
        <f>IFERROR(__xludf.DUMMYFUNCTION("""COMPUTED_VALUE"""),"Объем шарового сектора")</f>
        <v>Объем шарового сектора</v>
      </c>
      <c r="R53" s="1">
        <f>IFERROR(__xludf.DUMMYFUNCTION("""COMPUTED_VALUE"""),852.0)</f>
        <v>852</v>
      </c>
      <c r="S53" s="1"/>
      <c r="T53" s="1"/>
      <c r="U53" s="1"/>
      <c r="V53" s="1"/>
      <c r="W53" s="1" t="str">
        <f>IFERROR(__xludf.DUMMYFUNCTION("""COMPUTED_VALUE"""),"Основная теорема арифметики")</f>
        <v>Основная теорема арифметики</v>
      </c>
      <c r="X53" s="1">
        <f>IFERROR(__xludf.DUMMYFUNCTION("""COMPUTED_VALUE"""),1152.0)</f>
        <v>1152</v>
      </c>
      <c r="Y53" s="1"/>
      <c r="Z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IFERROR(__xludf.DUMMYFUNCTION("""COMPUTED_VALUE"""),"Формула Герона")</f>
        <v>Формула Герона</v>
      </c>
      <c r="N54" s="1">
        <f>IFERROR(__xludf.DUMMYFUNCTION("""COMPUTED_VALUE"""),653.0)</f>
        <v>653</v>
      </c>
      <c r="O54" s="1"/>
      <c r="P54" s="1"/>
      <c r="Q54" s="1" t="str">
        <f>IFERROR(__xludf.DUMMYFUNCTION("""COMPUTED_VALUE"""),"Составные многогранники")</f>
        <v>Составные многогранники</v>
      </c>
      <c r="R54" s="1">
        <f>IFERROR(__xludf.DUMMYFUNCTION("""COMPUTED_VALUE"""),853.0)</f>
        <v>853</v>
      </c>
      <c r="S54" s="1"/>
      <c r="T54" s="1"/>
      <c r="U54" s="1"/>
      <c r="V54" s="1"/>
      <c r="W54" s="1" t="str">
        <f>IFERROR(__xludf.DUMMYFUNCTION("""COMPUTED_VALUE"""),"Каноническое разложение")</f>
        <v>Каноническое разложение</v>
      </c>
      <c r="X54" s="1">
        <f>IFERROR(__xludf.DUMMYFUNCTION("""COMPUTED_VALUE"""),1153.0)</f>
        <v>1153</v>
      </c>
      <c r="Y54" s="1"/>
      <c r="Z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IFERROR(__xludf.DUMMYFUNCTION("""COMPUTED_VALUE"""),"Определение подобных треугольников")</f>
        <v>Определение подобных треугольников</v>
      </c>
      <c r="N55" s="1">
        <f>IFERROR(__xludf.DUMMYFUNCTION("""COMPUTED_VALUE"""),654.0)</f>
        <v>654</v>
      </c>
      <c r="O55" s="1"/>
      <c r="P55" s="1"/>
      <c r="Q55" s="1" t="str">
        <f>IFERROR(__xludf.DUMMYFUNCTION("""COMPUTED_VALUE"""),"Сечения")</f>
        <v>Сечения</v>
      </c>
      <c r="R55" s="1">
        <f>IFERROR(__xludf.DUMMYFUNCTION("""COMPUTED_VALUE"""),854.0)</f>
        <v>854</v>
      </c>
      <c r="S55" s="1"/>
      <c r="T55" s="1"/>
      <c r="U55" s="1"/>
      <c r="V55" s="1"/>
      <c r="W55" s="1" t="str">
        <f>IFERROR(__xludf.DUMMYFUNCTION("""COMPUTED_VALUE"""),"Делитель")</f>
        <v>Делитель</v>
      </c>
      <c r="X55" s="1">
        <f>IFERROR(__xludf.DUMMYFUNCTION("""COMPUTED_VALUE"""),1154.0)</f>
        <v>1154</v>
      </c>
      <c r="Y55" s="1"/>
      <c r="Z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IFERROR(__xludf.DUMMYFUNCTION("""COMPUTED_VALUE"""),"Пропорциональные отрезки")</f>
        <v>Пропорциональные отрезки</v>
      </c>
      <c r="N56" s="1">
        <f>IFERROR(__xludf.DUMMYFUNCTION("""COMPUTED_VALUE"""),655.0)</f>
        <v>655</v>
      </c>
      <c r="O56" s="1"/>
      <c r="P56" s="1"/>
      <c r="Q56" s="1" t="str">
        <f>IFERROR(__xludf.DUMMYFUNCTION("""COMPUTED_VALUE"""),"Методы построения сечений: метод следов")</f>
        <v>Методы построения сечений: метод следов</v>
      </c>
      <c r="R56" s="1">
        <f>IFERROR(__xludf.DUMMYFUNCTION("""COMPUTED_VALUE"""),855.0)</f>
        <v>855</v>
      </c>
      <c r="S56" s="1"/>
      <c r="T56" s="1"/>
      <c r="U56" s="1"/>
      <c r="V56" s="1"/>
      <c r="W56" s="1" t="str">
        <f>IFERROR(__xludf.DUMMYFUNCTION("""COMPUTED_VALUE"""),"Взаимно простые числа")</f>
        <v>Взаимно простые числа</v>
      </c>
      <c r="X56" s="1">
        <f>IFERROR(__xludf.DUMMYFUNCTION("""COMPUTED_VALUE"""),1155.0)</f>
        <v>1155</v>
      </c>
      <c r="Y56" s="1"/>
      <c r="Z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57" s="1">
        <f>IFERROR(__xludf.DUMMYFUNCTION("""COMPUTED_VALUE"""),656.0)</f>
        <v>656</v>
      </c>
      <c r="O57" s="1"/>
      <c r="P57" s="1"/>
      <c r="Q57" s="1" t="str">
        <f>IFERROR(__xludf.DUMMYFUNCTION("""COMPUTED_VALUE"""),"Компланарные векторы")</f>
        <v>Компланарные векторы</v>
      </c>
      <c r="R57" s="1">
        <f>IFERROR(__xludf.DUMMYFUNCTION("""COMPUTED_VALUE"""),856.0)</f>
        <v>856</v>
      </c>
      <c r="S57" s="1"/>
      <c r="T57" s="1"/>
      <c r="U57" s="1"/>
      <c r="V57" s="1"/>
      <c r="W57" s="1" t="str">
        <f>IFERROR(__xludf.DUMMYFUNCTION("""COMPUTED_VALUE"""),"Свойства взаимно простых чисел")</f>
        <v>Свойства взаимно простых чисел</v>
      </c>
      <c r="X57" s="1">
        <f>IFERROR(__xludf.DUMMYFUNCTION("""COMPUTED_VALUE"""),1156.0)</f>
        <v>1156</v>
      </c>
      <c r="Y57" s="1"/>
      <c r="Z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IFERROR(__xludf.DUMMYFUNCTION("""COMPUTED_VALUE"""),"Признаки подобия треугольников")</f>
        <v>Признаки подобия треугольников</v>
      </c>
      <c r="N58" s="1">
        <f>IFERROR(__xludf.DUMMYFUNCTION("""COMPUTED_VALUE"""),657.0)</f>
        <v>657</v>
      </c>
      <c r="O58" s="1"/>
      <c r="P58" s="1"/>
      <c r="Q58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R58" s="1">
        <f>IFERROR(__xludf.DUMMYFUNCTION("""COMPUTED_VALUE"""),857.0)</f>
        <v>857</v>
      </c>
      <c r="S58" s="1"/>
      <c r="T58" s="1"/>
      <c r="U58" s="1"/>
      <c r="V58" s="1"/>
      <c r="W58" s="1" t="str">
        <f>IFERROR(__xludf.DUMMYFUNCTION("""COMPUTED_VALUE"""),"Числовая последовательность")</f>
        <v>Числовая последовательность</v>
      </c>
      <c r="X58" s="1">
        <f>IFERROR(__xludf.DUMMYFUNCTION("""COMPUTED_VALUE"""),1157.0)</f>
        <v>1157</v>
      </c>
      <c r="Y58" s="1"/>
      <c r="Z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IFERROR(__xludf.DUMMYFUNCTION("""COMPUTED_VALUE"""),"Средняя линия треугольника")</f>
        <v>Средняя линия треугольника</v>
      </c>
      <c r="N59" s="1">
        <f>IFERROR(__xludf.DUMMYFUNCTION("""COMPUTED_VALUE"""),658.0)</f>
        <v>658</v>
      </c>
      <c r="O59" s="1"/>
      <c r="P59" s="1"/>
      <c r="Q59" s="1" t="str">
        <f>IFERROR(__xludf.DUMMYFUNCTION("""COMPUTED_VALUE"""),"Коллинеарные векторы")</f>
        <v>Коллинеарные векторы</v>
      </c>
      <c r="R59" s="1">
        <f>IFERROR(__xludf.DUMMYFUNCTION("""COMPUTED_VALUE"""),858.0)</f>
        <v>858</v>
      </c>
      <c r="S59" s="1"/>
      <c r="T59" s="1"/>
      <c r="U59" s="1"/>
      <c r="V59" s="1"/>
      <c r="W59" s="1" t="str">
        <f>IFERROR(__xludf.DUMMYFUNCTION("""COMPUTED_VALUE"""),"Арифметическая прогрессия")</f>
        <v>Арифметическая прогрессия</v>
      </c>
      <c r="X59" s="1">
        <f>IFERROR(__xludf.DUMMYFUNCTION("""COMPUTED_VALUE"""),1158.0)</f>
        <v>1158</v>
      </c>
      <c r="Y59" s="1"/>
      <c r="Z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60" s="1">
        <f>IFERROR(__xludf.DUMMYFUNCTION("""COMPUTED_VALUE"""),659.0)</f>
        <v>659</v>
      </c>
      <c r="O60" s="1"/>
      <c r="P60" s="1"/>
      <c r="Q60" s="1" t="str">
        <f>IFERROR(__xludf.DUMMYFUNCTION("""COMPUTED_VALUE"""),"Теорема о разложении вектора по трем некомпланарным векторам")</f>
        <v>Теорема о разложении вектора по трем некомпланарным векторам</v>
      </c>
      <c r="R60" s="1">
        <f>IFERROR(__xludf.DUMMYFUNCTION("""COMPUTED_VALUE"""),859.0)</f>
        <v>859</v>
      </c>
      <c r="S60" s="1"/>
      <c r="T60" s="1"/>
      <c r="U60" s="1"/>
      <c r="V60" s="1"/>
      <c r="W60" s="1" t="str">
        <f>IFERROR(__xludf.DUMMYFUNCTION("""COMPUTED_VALUE"""),"Свойства арифметической прогрессии")</f>
        <v>Свойства арифметической прогрессии</v>
      </c>
      <c r="X60" s="1">
        <f>IFERROR(__xludf.DUMMYFUNCTION("""COMPUTED_VALUE"""),1159.0)</f>
        <v>1159</v>
      </c>
      <c r="Y60" s="1"/>
      <c r="Z60" s="1"/>
    </row>
    <row r="61">
      <c r="A61" s="1" t="str">
        <f>IFERROR(__xludf.DUMMYFUNCTION("""COMPUTED_VALUE"""),"Среднее арифметическое ")</f>
        <v>Среднее арифметическое </v>
      </c>
      <c r="B61" s="1">
        <f>IFERROR(__xludf.DUMMYFUNCTION("""COMPUTED_VALUE"""),61.0)</f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61" s="1">
        <f>IFERROR(__xludf.DUMMYFUNCTION("""COMPUTED_VALUE"""),660.0)</f>
        <v>660</v>
      </c>
      <c r="O61" s="1"/>
      <c r="P61" s="1"/>
      <c r="Q61" s="1" t="str">
        <f>IFERROR(__xludf.DUMMYFUNCTION("""COMPUTED_VALUE"""),"Объемы тел вращения")</f>
        <v>Объемы тел вращения</v>
      </c>
      <c r="R61" s="1">
        <f>IFERROR(__xludf.DUMMYFUNCTION("""COMPUTED_VALUE"""),860.0)</f>
        <v>860</v>
      </c>
      <c r="S61" s="1"/>
      <c r="T61" s="1"/>
      <c r="U61" s="1"/>
      <c r="V61" s="1"/>
      <c r="W61" s="1" t="str">
        <f>IFERROR(__xludf.DUMMYFUNCTION("""COMPUTED_VALUE"""),"Геометрическая прогрессия")</f>
        <v>Геометрическая прогрессия</v>
      </c>
      <c r="X61" s="1">
        <f>IFERROR(__xludf.DUMMYFUNCTION("""COMPUTED_VALUE"""),1160.0)</f>
        <v>1160</v>
      </c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62" s="1">
        <f>IFERROR(__xludf.DUMMYFUNCTION("""COMPUTED_VALUE"""),661.0)</f>
        <v>661</v>
      </c>
      <c r="O62" s="1"/>
      <c r="P62" s="1"/>
      <c r="Q62" s="1" t="str">
        <f>IFERROR(__xludf.DUMMYFUNCTION("""COMPUTED_VALUE"""),"Площадь поверхности вращения")</f>
        <v>Площадь поверхности вращения</v>
      </c>
      <c r="R62" s="1">
        <f>IFERROR(__xludf.DUMMYFUNCTION("""COMPUTED_VALUE"""),861.0)</f>
        <v>861</v>
      </c>
      <c r="S62" s="1"/>
      <c r="T62" s="1"/>
      <c r="U62" s="1"/>
      <c r="V62" s="1"/>
      <c r="W62" s="1" t="str">
        <f>IFERROR(__xludf.DUMMYFUNCTION("""COMPUTED_VALUE"""),"Свойство геометрической прогрессии")</f>
        <v>Свойство геометрической прогрессии</v>
      </c>
      <c r="X62" s="1">
        <f>IFERROR(__xludf.DUMMYFUNCTION("""COMPUTED_VALUE"""),1161.0)</f>
        <v>1161</v>
      </c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63" s="1">
        <f>IFERROR(__xludf.DUMMYFUNCTION("""COMPUTED_VALUE"""),662.0)</f>
        <v>662</v>
      </c>
      <c r="O63" s="1"/>
      <c r="P63" s="1"/>
      <c r="Q63" s="1" t="str">
        <f>IFERROR(__xludf.DUMMYFUNCTION("""COMPUTED_VALUE"""),"Подобные тела")</f>
        <v>Подобные тела</v>
      </c>
      <c r="R63" s="1">
        <f>IFERROR(__xludf.DUMMYFUNCTION("""COMPUTED_VALUE"""),862.0)</f>
        <v>862</v>
      </c>
      <c r="S63" s="1"/>
      <c r="T63" s="1"/>
      <c r="U63" s="1"/>
      <c r="V63" s="1"/>
      <c r="W63" s="1" t="str">
        <f>IFERROR(__xludf.DUMMYFUNCTION("""COMPUTED_VALUE"""),"НОД")</f>
        <v>НОД</v>
      </c>
      <c r="X63" s="1">
        <f>IFERROR(__xludf.DUMMYFUNCTION("""COMPUTED_VALUE"""),1162.0)</f>
        <v>1162</v>
      </c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IFERROR(__xludf.DUMMYFUNCTION("""COMPUTED_VALUE"""),"Касательная к окружности")</f>
        <v>Касательная к окружности</v>
      </c>
      <c r="N64" s="1">
        <f>IFERROR(__xludf.DUMMYFUNCTION("""COMPUTED_VALUE"""),663.0)</f>
        <v>663</v>
      </c>
      <c r="O64" s="1"/>
      <c r="P64" s="1"/>
      <c r="Q64" s="1" t="str">
        <f>IFERROR(__xludf.DUMMYFUNCTION("""COMPUTED_VALUE"""),"Отношение объёмов подобных тел")</f>
        <v>Отношение объёмов подобных тел</v>
      </c>
      <c r="R64" s="1">
        <f>IFERROR(__xludf.DUMMYFUNCTION("""COMPUTED_VALUE"""),863.0)</f>
        <v>863</v>
      </c>
      <c r="S64" s="1"/>
      <c r="T64" s="1"/>
      <c r="U64" s="1"/>
      <c r="V64" s="1"/>
      <c r="W64" s="1" t="str">
        <f>IFERROR(__xludf.DUMMYFUNCTION("""COMPUTED_VALUE"""),"НОК")</f>
        <v>НОК</v>
      </c>
      <c r="X64" s="1">
        <f>IFERROR(__xludf.DUMMYFUNCTION("""COMPUTED_VALUE"""),1163.0)</f>
        <v>1163</v>
      </c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IFERROR(__xludf.DUMMYFUNCTION("""COMPUTED_VALUE"""),"Центральные и вписанные углы")</f>
        <v>Центральные и вписанные углы</v>
      </c>
      <c r="N65" s="1">
        <f>IFERROR(__xludf.DUMMYFUNCTION("""COMPUTED_VALUE"""),664.0)</f>
        <v>664</v>
      </c>
      <c r="O65" s="1"/>
      <c r="P65" s="1"/>
      <c r="Q65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65" s="1">
        <f>IFERROR(__xludf.DUMMYFUNCTION("""COMPUTED_VALUE"""),864.0)</f>
        <v>864</v>
      </c>
      <c r="S65" s="1"/>
      <c r="T65" s="1"/>
      <c r="U65" s="1"/>
      <c r="V65" s="1"/>
      <c r="W65" s="1" t="str">
        <f>IFERROR(__xludf.DUMMYFUNCTION("""COMPUTED_VALUE"""),"Разложение числа на десятки, сотни и т.д.")</f>
        <v>Разложение числа на десятки, сотни и т.д.</v>
      </c>
      <c r="X65" s="1">
        <f>IFERROR(__xludf.DUMMYFUNCTION("""COMPUTED_VALUE"""),1164.0)</f>
        <v>1164</v>
      </c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IFERROR(__xludf.DUMMYFUNCTION("""COMPUTED_VALUE"""),"Градусная мера дуги окружности")</f>
        <v>Градусная мера дуги окружности</v>
      </c>
      <c r="N66" s="1">
        <f>IFERROR(__xludf.DUMMYFUNCTION("""COMPUTED_VALUE"""),665.0)</f>
        <v>665</v>
      </c>
      <c r="O66" s="1"/>
      <c r="P66" s="1"/>
      <c r="Q66" s="1" t="str">
        <f>IFERROR(__xludf.DUMMYFUNCTION("""COMPUTED_VALUE"""),"Метод объёмов")</f>
        <v>Метод объёмов</v>
      </c>
      <c r="R66" s="1">
        <f>IFERROR(__xludf.DUMMYFUNCTION("""COMPUTED_VALUE"""),865.0)</f>
        <v>865</v>
      </c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о вписанном угле")</f>
        <v>Теорема о вписанном угле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IFERROR(__xludf.DUMMYFUNCTION("""COMPUTED_VALUE"""),"Четыре замечательные точки треугольника")</f>
        <v>Четыре замечательные точки треугольника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IFERROR(__xludf.DUMMYFUNCTION("""COMPUTED_VALUE"""),"Свойства биссектрисы угла")</f>
        <v>Свойства биссектрисы угла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IFERROR(__xludf.DUMMYFUNCTION("""COMPUTED_VALUE"""),"Вписанная окружность")</f>
        <v>Вписанная окружность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IFERROR(__xludf.DUMMYFUNCTION("""COMPUTED_VALUE"""),"Описанная окружность")</f>
        <v>Описанная окружность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IFERROR(__xludf.DUMMYFUNCTION("""COMPUTED_VALUE"""),"Средняя линия трапеции")</f>
        <v>Средняя линия трапеции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IFERROR(__xludf.DUMMYFUNCTION("""COMPUTED_VALUE"""),"Уравнение линии на плоскости")</f>
        <v>Уравнение линии на плоскости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IFERROR(__xludf.DUMMYFUNCTION("""COMPUTED_VALUE"""),"Уравнение окружности")</f>
        <v>Уравнение окружности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IFERROR(__xludf.DUMMYFUNCTION("""COMPUTED_VALUE"""),"Уравнение прямой")</f>
        <v>Уравнение прямой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IFERROR(__xludf.DUMMYFUNCTION("""COMPUTED_VALUE"""),"Взаимное расположение двух окружностей")</f>
        <v>Взаимное расположение двух окружностей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о площади треугольника")</f>
        <v>Теорема о площади треугольника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синусов")</f>
        <v>Теорема синусов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косинусов")</f>
        <v>Теорема косинусов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IFERROR(__xludf.DUMMYFUNCTION("""COMPUTED_VALUE"""),"Правильный многоугольник")</f>
        <v>Правильный многоугольник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tr">
        <f>IFERROR(__xludf.DUMMYFUNCTION("""COMPUTED_VALUE"""),"Построение правильных многоугольников")</f>
        <v>Построение правильных многоугольников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tr">
        <f>IFERROR(__xludf.DUMMYFUNCTION("""COMPUTED_VALUE"""),"Длина окружности")</f>
        <v>Длина окружности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tr">
        <f>IFERROR(__xludf.DUMMYFUNCTION("""COMPUTED_VALUE"""),"Площадь круга")</f>
        <v>Площадь круга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tr">
        <f>IFERROR(__xludf.DUMMYFUNCTION("""COMPUTED_VALUE"""),"Площадь кругового сектора, кольца")</f>
        <v>Площадь кругового сектора, кольца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tr">
        <f>IFERROR(__xludf.DUMMYFUNCTION("""COMPUTED_VALUE"""),"Секущая, касательная для окружности")</f>
        <v>Секущая, касательная для окружности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tr">
        <f>IFERROR(__xludf.DUMMYFUNCTION("""COMPUTED_VALUE"""),"Теорема Менелая")</f>
        <v>Теорема Менелая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tr">
        <f>IFERROR(__xludf.DUMMYFUNCTION("""COMPUTED_VALUE"""),"Теорема Чевы")</f>
        <v>Теорема Чевы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tr">
        <f>IFERROR(__xludf.DUMMYFUNCTION("""COMPUTED_VALUE"""),"Теорема Фалеса")</f>
        <v>Теорема Фалеса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tr">
        <f>IFERROR(__xludf.DUMMYFUNCTION("""COMPUTED_VALUE"""),"Теорема о пропорциональных отрезках")</f>
        <v>Теорема о пропорциональных отрезках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tr">
        <f>IFERROR(__xludf.DUMMYFUNCTION("""COMPUTED_VALUE"""),"Периметр")</f>
        <v>Периметр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tr">
        <f>IFERROR(__xludf.DUMMYFUNCTION("""COMPUTED_VALUE"""),"Правильный треугольник")</f>
        <v>Правильный треугольник</v>
      </c>
      <c r="N99" s="1">
        <f>IFERROR(__xludf.DUMMYFUNCTION("""COMPUTED_VALUE"""),698.0)</f>
        <v>698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tr">
        <f>IFERROR(__xludf.DUMMYFUNCTION("""COMPUTED_VALUE"""),"Правильный шестиугольник")</f>
        <v>Правильный шестиугольник</v>
      </c>
      <c r="N100" s="1">
        <f>IFERROR(__xludf.DUMMYFUNCTION("""COMPUTED_VALUE"""),699.0)</f>
        <v>699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tr">
        <f>IFERROR(__xludf.DUMMYFUNCTION("""COMPUTED_VALUE"""),"Подобные фигуры")</f>
        <v>Подобные фигуры</v>
      </c>
      <c r="N101" s="1">
        <f>IFERROR(__xludf.DUMMYFUNCTION("""COMPUTED_VALUE"""),1300.0)</f>
        <v>1300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tr">
        <f>IFERROR(__xludf.DUMMYFUNCTION("""COMPUTED_VALUE"""),"Метод площадей")</f>
        <v>Метод площадей</v>
      </c>
      <c r="N102" s="1">
        <f>IFERROR(__xludf.DUMMYFUNCTION("""COMPUTED_VALUE"""),1301.0)</f>
        <v>1301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