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IFERROR(__xludf.DUMMYFUNCTION("IMPORTRANGE(""https://docs.google.com/spreadsheets/d/1FqnxW1nvn6x-1AvpP8JTyc3IKWPdjv5B_SLFZCc8kE8/edit"",""УМИТЫ!A:Z"")"),"Грамматика")</f>
        <v>Грамматика</v>
      </c>
      <c r="B1" s="1"/>
      <c r="C1" s="1" t="str">
        <f>IFERROR(__xludf.DUMMYFUNCTION("""COMPUTED_VALUE"""),"Времена")</f>
        <v>Времена</v>
      </c>
      <c r="D1" s="1"/>
      <c r="E1" s="1" t="str">
        <f>IFERROR(__xludf.DUMMYFUNCTION("""COMPUTED_VALUE"""),"Лексика")</f>
        <v>Лексика</v>
      </c>
      <c r="F1" s="1"/>
      <c r="G1" s="1" t="str">
        <f>IFERROR(__xludf.DUMMYFUNCTION("""COMPUTED_VALUE"""),"Чтение")</f>
        <v>Чтение</v>
      </c>
      <c r="H1" s="1"/>
      <c r="I1" s="1" t="str">
        <f>IFERROR(__xludf.DUMMYFUNCTION("""COMPUTED_VALUE"""),"Аудирование")</f>
        <v>Аудирование</v>
      </c>
      <c r="J1" s="1"/>
      <c r="K1" s="1" t="str">
        <f>IFERROR(__xludf.DUMMYFUNCTION("""COMPUTED_VALUE"""),"Письмо")</f>
        <v>Письмо</v>
      </c>
      <c r="L1" s="1"/>
      <c r="M1" s="1" t="str">
        <f>IFERROR(__xludf.DUMMYFUNCTION("""COMPUTED_VALUE"""),"Говорение")</f>
        <v>Говорение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IFERROR(__xludf.DUMMYFUNCTION("""COMPUTED_VALUE"""),"Исчисляемые и неисчисляемые существительные")</f>
        <v>Исчисляемые и неисчисляемые существительные</v>
      </c>
      <c r="B2" s="1">
        <f>IFERROR(__xludf.DUMMYFUNCTION("""COMPUTED_VALUE"""),1.0)</f>
        <v>1</v>
      </c>
      <c r="C2" s="1" t="str">
        <f>IFERROR(__xludf.DUMMYFUNCTION("""COMPUTED_VALUE"""),"Утвердительные предложения в Present Simple")</f>
        <v>Утвердительные предложения в Present Simple</v>
      </c>
      <c r="D2" s="1">
        <f>IFERROR(__xludf.DUMMYFUNCTION("""COMPUTED_VALUE"""),101.0)</f>
        <v>101</v>
      </c>
      <c r="E2" s="1" t="str">
        <f>IFERROR(__xludf.DUMMYFUNCTION("""COMPUTED_VALUE"""),"Фразовый глагол keep")</f>
        <v>Фразовый глагол keep</v>
      </c>
      <c r="F2" s="1">
        <f>IFERROR(__xludf.DUMMYFUNCTION("""COMPUTED_VALUE"""),201.0)</f>
        <v>201</v>
      </c>
      <c r="G2" s="1" t="str">
        <f>IFERROR(__xludf.DUMMYFUNCTION("""COMPUTED_VALUE"""),"Понимание основного содержания
текста")</f>
        <v>Понимание основного содержания
текста</v>
      </c>
      <c r="H2" s="1">
        <f>IFERROR(__xludf.DUMMYFUNCTION("""COMPUTED_VALUE"""),301.0)</f>
        <v>301</v>
      </c>
      <c r="I2" s="1" t="str">
        <f>IFERROR(__xludf.DUMMYFUNCTION("""COMPUTED_VALUE"""),"Понимание основного содержания
прослушанного текста")</f>
        <v>Понимание основного содержания
прослушанного текста</v>
      </c>
      <c r="J2" s="1">
        <f>IFERROR(__xludf.DUMMYFUNCTION("""COMPUTED_VALUE"""),401.0)</f>
        <v>401</v>
      </c>
      <c r="K2" s="1" t="str">
        <f>IFERROR(__xludf.DUMMYFUNCTION("""COMPUTED_VALUE"""),"Письмо личного характера")</f>
        <v>Письмо личного характера</v>
      </c>
      <c r="L2" s="1">
        <f>IFERROR(__xludf.DUMMYFUNCTION("""COMPUTED_VALUE"""),501.0)</f>
        <v>501</v>
      </c>
      <c r="M2" s="1" t="str">
        <f>IFERROR(__xludf.DUMMYFUNCTION("""COMPUTED_VALUE"""),"Буквенные сочетания и их произношения")</f>
        <v>Буквенные сочетания и их произношения</v>
      </c>
      <c r="N2" s="1">
        <f>IFERROR(__xludf.DUMMYFUNCTION("""COMPUTED_VALUE"""),601.0)</f>
        <v>601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tr">
        <f>IFERROR(__xludf.DUMMYFUNCTION("""COMPUTED_VALUE"""),"Количественные числительные")</f>
        <v>Количественные числительные</v>
      </c>
      <c r="B3" s="1">
        <f>IFERROR(__xludf.DUMMYFUNCTION("""COMPUTED_VALUE"""),2.0)</f>
        <v>2</v>
      </c>
      <c r="C3" s="1" t="str">
        <f>IFERROR(__xludf.DUMMYFUNCTION("""COMPUTED_VALUE"""),"Отрицательные предложения в Present Simple")</f>
        <v>Отрицательные предложения в Present Simple</v>
      </c>
      <c r="D3" s="1">
        <f>IFERROR(__xludf.DUMMYFUNCTION("""COMPUTED_VALUE"""),102.0)</f>
        <v>102</v>
      </c>
      <c r="E3" s="1" t="str">
        <f>IFERROR(__xludf.DUMMYFUNCTION("""COMPUTED_VALUE"""),"Устойчивые выражения с местоимениями")</f>
        <v>Устойчивые выражения с местоимениями</v>
      </c>
      <c r="F3" s="1">
        <f>IFERROR(__xludf.DUMMYFUNCTION("""COMPUTED_VALUE"""),202.0)</f>
        <v>202</v>
      </c>
      <c r="G3" s="1" t="str">
        <f>IFERROR(__xludf.DUMMYFUNCTION("""COMPUTED_VALUE"""),"Понимание структурно-
смысловых связей в тексте")</f>
        <v>Понимание структурно-
смысловых связей в тексте</v>
      </c>
      <c r="H3" s="1">
        <f>IFERROR(__xludf.DUMMYFUNCTION("""COMPUTED_VALUE"""),302.0)</f>
        <v>302</v>
      </c>
      <c r="I3" s="1" t="str">
        <f>IFERROR(__xludf.DUMMYFUNCTION("""COMPUTED_VALUE"""),"Понимание запрашиваемой
информации в прослушанном
тексте")</f>
        <v>Понимание запрашиваемой
информации в прослушанном
тексте</v>
      </c>
      <c r="J3" s="1">
        <f>IFERROR(__xludf.DUMMYFUNCTION("""COMPUTED_VALUE"""),402.0)</f>
        <v>402</v>
      </c>
      <c r="K3" s="1" t="str">
        <f>IFERROR(__xludf.DUMMYFUNCTION("""COMPUTED_VALUE"""),"Письменное высказывание с элементами рассуждения по предложенной проблеме")</f>
        <v>Письменное высказывание с элементами рассуждения по предложенной проблеме</v>
      </c>
      <c r="L3" s="1">
        <f>IFERROR(__xludf.DUMMYFUNCTION("""COMPUTED_VALUE"""),502.0)</f>
        <v>502</v>
      </c>
      <c r="M3" s="1" t="str">
        <f>IFERROR(__xludf.DUMMYFUNCTION("""COMPUTED_VALUE"""),"Чтение дат")</f>
        <v>Чтение дат</v>
      </c>
      <c r="N3" s="1">
        <f>IFERROR(__xludf.DUMMYFUNCTION("""COMPUTED_VALUE"""),602.0)</f>
        <v>602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tr">
        <f>IFERROR(__xludf.DUMMYFUNCTION("""COMPUTED_VALUE"""),"Употребление артикля a/an")</f>
        <v>Употребление артикля a/an</v>
      </c>
      <c r="B4" s="1">
        <f>IFERROR(__xludf.DUMMYFUNCTION("""COMPUTED_VALUE"""),3.0)</f>
        <v>3</v>
      </c>
      <c r="C4" s="1" t="str">
        <f>IFERROR(__xludf.DUMMYFUNCTION("""COMPUTED_VALUE"""),"Окончания -s/-es глаголов")</f>
        <v>Окончания -s/-es глаголов</v>
      </c>
      <c r="D4" s="1">
        <f>IFERROR(__xludf.DUMMYFUNCTION("""COMPUTED_VALUE"""),103.0)</f>
        <v>103</v>
      </c>
      <c r="E4" s="1" t="str">
        <f>IFERROR(__xludf.DUMMYFUNCTION("""COMPUTED_VALUE"""),"Вводные слова")</f>
        <v>Вводные слова</v>
      </c>
      <c r="F4" s="1">
        <f>IFERROR(__xludf.DUMMYFUNCTION("""COMPUTED_VALUE"""),203.0)</f>
        <v>203</v>
      </c>
      <c r="G4" s="1" t="str">
        <f>IFERROR(__xludf.DUMMYFUNCTION("""COMPUTED_VALUE"""),"Полное и точное понимание
информации в тексте")</f>
        <v>Полное и точное понимание
информации в тексте</v>
      </c>
      <c r="H4" s="1">
        <f>IFERROR(__xludf.DUMMYFUNCTION("""COMPUTED_VALUE"""),303.0)</f>
        <v>303</v>
      </c>
      <c r="I4" s="1" t="str">
        <f>IFERROR(__xludf.DUMMYFUNCTION("""COMPUTED_VALUE"""),"Полное понимание
прослушанного текста")</f>
        <v>Полное понимание
прослушанного текста</v>
      </c>
      <c r="J4" s="1">
        <f>IFERROR(__xludf.DUMMYFUNCTION("""COMPUTED_VALUE"""),403.0)</f>
        <v>403</v>
      </c>
      <c r="K4" s="1"/>
      <c r="L4" s="1"/>
      <c r="M4" s="1" t="str">
        <f>IFERROR(__xludf.DUMMYFUNCTION("""COMPUTED_VALUE"""),"Чтение годов")</f>
        <v>Чтение годов</v>
      </c>
      <c r="N4" s="1">
        <f>IFERROR(__xludf.DUMMYFUNCTION("""COMPUTED_VALUE"""),603.0)</f>
        <v>603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IFERROR(__xludf.DUMMYFUNCTION("""COMPUTED_VALUE"""),"Употребление артикля the")</f>
        <v>Употребление артикля the</v>
      </c>
      <c r="B5" s="1">
        <f>IFERROR(__xludf.DUMMYFUNCTION("""COMPUTED_VALUE"""),4.0)</f>
        <v>4</v>
      </c>
      <c r="C5" s="1" t="str">
        <f>IFERROR(__xludf.DUMMYFUNCTION("""COMPUTED_VALUE""")," Вопросительные предложения в Present Simple")</f>
        <v> Вопросительные предложения в Present Simple</v>
      </c>
      <c r="D5" s="1">
        <f>IFERROR(__xludf.DUMMYFUNCTION("""COMPUTED_VALUE"""),104.0)</f>
        <v>104</v>
      </c>
      <c r="E5" s="1" t="str">
        <f>IFERROR(__xludf.DUMMYFUNCTION("""COMPUTED_VALUE"""),"Устойчивые выражения с to do")</f>
        <v>Устойчивые выражения с to do</v>
      </c>
      <c r="F5" s="1">
        <f>IFERROR(__xludf.DUMMYFUNCTION("""COMPUTED_VALUE"""),204.0)</f>
        <v>204</v>
      </c>
      <c r="G5" s="1" t="str">
        <f>IFERROR(__xludf.DUMMYFUNCTION("""COMPUTED_VALUE"""),"Выборочное понимание нужной информации")</f>
        <v>Выборочное понимание нужной информации</v>
      </c>
      <c r="H5" s="1">
        <f>IFERROR(__xludf.DUMMYFUNCTION("""COMPUTED_VALUE"""),304.0)</f>
        <v>304</v>
      </c>
      <c r="I5" s="1" t="str">
        <f>IFERROR(__xludf.DUMMYFUNCTION("""COMPUTED_VALUE"""),"Определение темы звучащего текста")</f>
        <v>Определение темы звучащего текста</v>
      </c>
      <c r="J5" s="1">
        <f>IFERROR(__xludf.DUMMYFUNCTION("""COMPUTED_VALUE"""),404.0)</f>
        <v>404</v>
      </c>
      <c r="K5" s="1"/>
      <c r="L5" s="1"/>
      <c r="M5" s="1" t="str">
        <f>IFERROR(__xludf.DUMMYFUNCTION("""COMPUTED_VALUE"""),"Чтение текста вслух")</f>
        <v>Чтение текста вслух</v>
      </c>
      <c r="N5" s="1">
        <f>IFERROR(__xludf.DUMMYFUNCTION("""COMPUTED_VALUE"""),604.0)</f>
        <v>604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tr">
        <f>IFERROR(__xludf.DUMMYFUNCTION("""COMPUTED_VALUE"""),"Употребление нулевого артикля")</f>
        <v>Употребление нулевого артикля</v>
      </c>
      <c r="B6" s="1">
        <f>IFERROR(__xludf.DUMMYFUNCTION("""COMPUTED_VALUE"""),5.0)</f>
        <v>5</v>
      </c>
      <c r="C6" s="1" t="str">
        <f>IFERROR(__xludf.DUMMYFUNCTION("""COMPUTED_VALUE"""),"Слова-маркеры Present Simple")</f>
        <v>Слова-маркеры Present Simple</v>
      </c>
      <c r="D6" s="1">
        <f>IFERROR(__xludf.DUMMYFUNCTION("""COMPUTED_VALUE"""),105.0)</f>
        <v>105</v>
      </c>
      <c r="E6" s="1" t="str">
        <f>IFERROR(__xludf.DUMMYFUNCTION("""COMPUTED_VALUE"""),"Устойчивые выражения с to make")</f>
        <v>Устойчивые выражения с to make</v>
      </c>
      <c r="F6" s="1">
        <f>IFERROR(__xludf.DUMMYFUNCTION("""COMPUTED_VALUE"""),205.0)</f>
        <v>205</v>
      </c>
      <c r="G6" s="1" t="str">
        <f>IFERROR(__xludf.DUMMYFUNCTION("""COMPUTED_VALUE"""),"Выборочное понимание интересующей информации")</f>
        <v>Выборочное понимание интересующей информации</v>
      </c>
      <c r="H6" s="1">
        <f>IFERROR(__xludf.DUMMYFUNCTION("""COMPUTED_VALUE"""),305.0)</f>
        <v>305</v>
      </c>
      <c r="I6" s="1"/>
      <c r="J6" s="1"/>
      <c r="K6" s="1"/>
      <c r="L6" s="1"/>
      <c r="M6" s="1" t="str">
        <f>IFERROR(__xludf.DUMMYFUNCTION("""COMPUTED_VALUE"""),"Формулирование вопросов")</f>
        <v>Формулирование вопросов</v>
      </c>
      <c r="N6" s="1">
        <f>IFERROR(__xludf.DUMMYFUNCTION("""COMPUTED_VALUE"""),605.0)</f>
        <v>605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IFERROR(__xludf.DUMMYFUNCTION("""COMPUTED_VALUE"""),"Предлоги времени")</f>
        <v>Предлоги времени</v>
      </c>
      <c r="B7" s="1">
        <f>IFERROR(__xludf.DUMMYFUNCTION("""COMPUTED_VALUE"""),6.0)</f>
        <v>6</v>
      </c>
      <c r="C7" s="1" t="str">
        <f>IFERROR(__xludf.DUMMYFUNCTION("""COMPUTED_VALUE"""),"Глагол to be в Present Simple")</f>
        <v>Глагол to be в Present Simple</v>
      </c>
      <c r="D7" s="1">
        <f>IFERROR(__xludf.DUMMYFUNCTION("""COMPUTED_VALUE"""),106.0)</f>
        <v>106</v>
      </c>
      <c r="E7" s="1" t="str">
        <f>IFERROR(__xludf.DUMMYFUNCTION("""COMPUTED_VALUE"""),"Лексика по теме “Семья”")</f>
        <v>Лексика по теме “Семья”</v>
      </c>
      <c r="F7" s="1">
        <f>IFERROR(__xludf.DUMMYFUNCTION("""COMPUTED_VALUE"""),206.0)</f>
        <v>206</v>
      </c>
      <c r="G7" s="1"/>
      <c r="H7" s="1"/>
      <c r="I7" s="1"/>
      <c r="J7" s="1"/>
      <c r="K7" s="1"/>
      <c r="L7" s="1"/>
      <c r="M7" s="1" t="str">
        <f>IFERROR(__xludf.DUMMYFUNCTION("""COMPUTED_VALUE"""),"Ответ на вопросы")</f>
        <v>Ответ на вопросы</v>
      </c>
      <c r="N7" s="1">
        <f>IFERROR(__xludf.DUMMYFUNCTION("""COMPUTED_VALUE"""),606.0)</f>
        <v>606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tr">
        <f>IFERROR(__xludf.DUMMYFUNCTION("""COMPUTED_VALUE"""),"Предлоги места")</f>
        <v>Предлоги места</v>
      </c>
      <c r="B8" s="1">
        <f>IFERROR(__xludf.DUMMYFUNCTION("""COMPUTED_VALUE"""),7.0)</f>
        <v>7</v>
      </c>
      <c r="C8" s="1" t="str">
        <f>IFERROR(__xludf.DUMMYFUNCTION("""COMPUTED_VALUE"""),"Утвердительные предложения в Present Continuous")</f>
        <v>Утвердительные предложения в Present Continuous</v>
      </c>
      <c r="D8" s="1">
        <f>IFERROR(__xludf.DUMMYFUNCTION("""COMPUTED_VALUE"""),107.0)</f>
        <v>107</v>
      </c>
      <c r="E8" s="1" t="str">
        <f>IFERROR(__xludf.DUMMYFUNCTION("""COMPUTED_VALUE"""),"Лексика ""Disliking""")</f>
        <v>Лексика "Disliking"</v>
      </c>
      <c r="F8" s="1">
        <f>IFERROR(__xludf.DUMMYFUNCTION("""COMPUTED_VALUE"""),207.0)</f>
        <v>207</v>
      </c>
      <c r="G8" s="1"/>
      <c r="H8" s="1"/>
      <c r="I8" s="1"/>
      <c r="J8" s="1"/>
      <c r="K8" s="1"/>
      <c r="L8" s="1"/>
      <c r="M8" s="1" t="str">
        <f>IFERROR(__xludf.DUMMYFUNCTION("""COMPUTED_VALUE"""),"Описание фотографий для проекта")</f>
        <v>Описание фотографий для проекта</v>
      </c>
      <c r="N8" s="1">
        <f>IFERROR(__xludf.DUMMYFUNCTION("""COMPUTED_VALUE"""),607.0)</f>
        <v>607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tr">
        <f>IFERROR(__xludf.DUMMYFUNCTION("""COMPUTED_VALUE"""),"Порядковые числительные")</f>
        <v>Порядковые числительные</v>
      </c>
      <c r="B9" s="1">
        <f>IFERROR(__xludf.DUMMYFUNCTION("""COMPUTED_VALUE"""),8.0)</f>
        <v>8</v>
      </c>
      <c r="C9" s="1" t="str">
        <f>IFERROR(__xludf.DUMMYFUNCTION("""COMPUTED_VALUE"""),"Отрицательные предложения в Present Continuous")</f>
        <v>Отрицательные предложения в Present Continuous</v>
      </c>
      <c r="D9" s="1">
        <f>IFERROR(__xludf.DUMMYFUNCTION("""COMPUTED_VALUE"""),108.0)</f>
        <v>108</v>
      </c>
      <c r="E9" s="1" t="str">
        <f>IFERROR(__xludf.DUMMYFUNCTION("""COMPUTED_VALUE"""),"Употребление few and little")</f>
        <v>Употребление few and little</v>
      </c>
      <c r="F9" s="1">
        <f>IFERROR(__xludf.DUMMYFUNCTION("""COMPUTED_VALUE"""),208.0)</f>
        <v>208</v>
      </c>
      <c r="G9" s="1"/>
      <c r="H9" s="1"/>
      <c r="I9" s="1"/>
      <c r="J9" s="1"/>
      <c r="K9" s="1"/>
      <c r="L9" s="1"/>
      <c r="M9" s="1" t="str">
        <f>IFERROR(__xludf.DUMMYFUNCTION("""COMPUTED_VALUE"""),"Монолог")</f>
        <v>Монолог</v>
      </c>
      <c r="N9" s="1">
        <f>IFERROR(__xludf.DUMMYFUNCTION("""COMPUTED_VALUE"""),608.0)</f>
        <v>608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IFERROR(__xludf.DUMMYFUNCTION("""COMPUTED_VALUE"""),"Предлоги с транспортом")</f>
        <v>Предлоги с транспортом</v>
      </c>
      <c r="B10" s="1">
        <f>IFERROR(__xludf.DUMMYFUNCTION("""COMPUTED_VALUE"""),9.0)</f>
        <v>9</v>
      </c>
      <c r="C10" s="1" t="str">
        <f>IFERROR(__xludf.DUMMYFUNCTION("""COMPUTED_VALUE"""),"Окончаниe -ing глаголов")</f>
        <v>Окончаниe -ing глаголов</v>
      </c>
      <c r="D10" s="1">
        <f>IFERROR(__xludf.DUMMYFUNCTION("""COMPUTED_VALUE"""),109.0)</f>
        <v>109</v>
      </c>
      <c r="E10" s="1" t="str">
        <f>IFERROR(__xludf.DUMMYFUNCTION("""COMPUTED_VALUE"""),"Лексика ""Desiring""")</f>
        <v>Лексика "Desiring"</v>
      </c>
      <c r="F10" s="1">
        <f>IFERROR(__xludf.DUMMYFUNCTION("""COMPUTED_VALUE"""),209.0)</f>
        <v>209</v>
      </c>
      <c r="G10" s="1"/>
      <c r="H10" s="1"/>
      <c r="I10" s="1"/>
      <c r="J10" s="1"/>
      <c r="K10" s="1"/>
      <c r="L10" s="1"/>
      <c r="M10" s="1" t="str">
        <f>IFERROR(__xludf.DUMMYFUNCTION("""COMPUTED_VALUE"""),"Правила интонирования")</f>
        <v>Правила интонирования</v>
      </c>
      <c r="N10" s="1">
        <f>IFERROR(__xludf.DUMMYFUNCTION("""COMPUTED_VALUE"""),609.0)</f>
        <v>609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tr">
        <f>IFERROR(__xludf.DUMMYFUNCTION("""COMPUTED_VALUE"""),"Оборот ""There + to be""")</f>
        <v>Оборот "There + to be"</v>
      </c>
      <c r="B11" s="1">
        <f>IFERROR(__xludf.DUMMYFUNCTION("""COMPUTED_VALUE"""),10.0)</f>
        <v>10</v>
      </c>
      <c r="C11" s="1" t="str">
        <f>IFERROR(__xludf.DUMMYFUNCTION("""COMPUTED_VALUE""")," Вопросительные предложения в Present Continuous")</f>
        <v> Вопросительные предложения в Present Continuous</v>
      </c>
      <c r="D11" s="1">
        <f>IFERROR(__xludf.DUMMYFUNCTION("""COMPUTED_VALUE"""),110.0)</f>
        <v>110</v>
      </c>
      <c r="E11" s="1" t="str">
        <f>IFERROR(__xludf.DUMMYFUNCTION("""COMPUTED_VALUE"""),"Употребление so")</f>
        <v>Употребление so</v>
      </c>
      <c r="F11" s="1">
        <f>IFERROR(__xludf.DUMMYFUNCTION("""COMPUTED_VALUE"""),210.0)</f>
        <v>210</v>
      </c>
      <c r="G11" s="1"/>
      <c r="H11" s="1"/>
      <c r="I11" s="1"/>
      <c r="J11" s="1"/>
      <c r="K11" s="1"/>
      <c r="L11" s="1"/>
      <c r="M11" s="1" t="str">
        <f>IFERROR(__xludf.DUMMYFUNCTION("""COMPUTED_VALUE"""),"Чтение числительных")</f>
        <v>Чтение числительных</v>
      </c>
      <c r="N11" s="1">
        <f>IFERROR(__xludf.DUMMYFUNCTION("""COMPUTED_VALUE"""),610.0)</f>
        <v>610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tr">
        <f>IFERROR(__xludf.DUMMYFUNCTION("""COMPUTED_VALUE"""),"Passive voice")</f>
        <v>Passive voice</v>
      </c>
      <c r="B12" s="1">
        <f>IFERROR(__xludf.DUMMYFUNCTION("""COMPUTED_VALUE"""),11.0)</f>
        <v>11</v>
      </c>
      <c r="C12" s="1" t="str">
        <f>IFERROR(__xludf.DUMMYFUNCTION("""COMPUTED_VALUE"""),"Слова-маркеры Present Continuous")</f>
        <v>Слова-маркеры Present Continuous</v>
      </c>
      <c r="D12" s="1">
        <f>IFERROR(__xludf.DUMMYFUNCTION("""COMPUTED_VALUE"""),111.0)</f>
        <v>111</v>
      </c>
      <c r="E12" s="1" t="str">
        <f>IFERROR(__xludf.DUMMYFUNCTION("""COMPUTED_VALUE"""),"Употребление such")</f>
        <v>Употребление such</v>
      </c>
      <c r="F12" s="1">
        <f>IFERROR(__xludf.DUMMYFUNCTION("""COMPUTED_VALUE"""),211.0)</f>
        <v>211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IFERROR(__xludf.DUMMYFUNCTION("""COMPUTED_VALUE"""),"Предлоги by и with в Passive Voice")</f>
        <v>Предлоги by и with в Passive Voice</v>
      </c>
      <c r="B13" s="1">
        <f>IFERROR(__xludf.DUMMYFUNCTION("""COMPUTED_VALUE"""),12.0)</f>
        <v>12</v>
      </c>
      <c r="C13" s="1" t="str">
        <f>IFERROR(__xludf.DUMMYFUNCTION("""COMPUTED_VALUE"""),"Статичные глаголы")</f>
        <v>Статичные глаголы</v>
      </c>
      <c r="D13" s="1">
        <f>IFERROR(__xludf.DUMMYFUNCTION("""COMPUTED_VALUE"""),112.0)</f>
        <v>112</v>
      </c>
      <c r="E13" s="1" t="str">
        <f>IFERROR(__xludf.DUMMYFUNCTION("""COMPUTED_VALUE"""),"Употребление other, others и another")</f>
        <v>Употребление other, others и another</v>
      </c>
      <c r="F13" s="1">
        <f>IFERROR(__xludf.DUMMYFUNCTION("""COMPUTED_VALUE"""),212.0)</f>
        <v>212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IFERROR(__xludf.DUMMYFUNCTION("""COMPUTED_VALUE"""),"Личные местоимения")</f>
        <v>Личные местоимения</v>
      </c>
      <c r="B14" s="1">
        <f>IFERROR(__xludf.DUMMYFUNCTION("""COMPUTED_VALUE"""),13.0)</f>
        <v>13</v>
      </c>
      <c r="C14" s="1" t="str">
        <f>IFERROR(__xludf.DUMMYFUNCTION("""COMPUTED_VALUE"""),"Глаголы с разным значением в Simple и Continuous")</f>
        <v>Глаголы с разным значением в Simple и Continuous</v>
      </c>
      <c r="D14" s="1">
        <f>IFERROR(__xludf.DUMMYFUNCTION("""COMPUTED_VALUE"""),113.0)</f>
        <v>113</v>
      </c>
      <c r="E14" s="1" t="str">
        <f>IFERROR(__xludf.DUMMYFUNCTION("""COMPUTED_VALUE"""),"Фразовые глаголы со stand")</f>
        <v>Фразовые глаголы со stand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IFERROR(__xludf.DUMMYFUNCTION("""COMPUTED_VALUE"""),"Притяжательные местоимения")</f>
        <v>Притяжательные местоимения</v>
      </c>
      <c r="B15" s="1">
        <f>IFERROR(__xludf.DUMMYFUNCTION("""COMPUTED_VALUE"""),14.0)</f>
        <v>14</v>
      </c>
      <c r="C15" s="1" t="str">
        <f>IFERROR(__xludf.DUMMYFUNCTION("""COMPUTED_VALUE"""),"Глагол to be в Past Simple")</f>
        <v>Глагол to be в Past Simple</v>
      </c>
      <c r="D15" s="1">
        <f>IFERROR(__xludf.DUMMYFUNCTION("""COMPUTED_VALUE"""),114.0)</f>
        <v>114</v>
      </c>
      <c r="E15" s="1" t="str">
        <f>IFERROR(__xludf.DUMMYFUNCTION("""COMPUTED_VALUE"""),"Фразовый глагол turn")</f>
        <v>Фразовый глагол turn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IFERROR(__xludf.DUMMYFUNCTION("""COMPUTED_VALUE"""),"Возвратные местоимения")</f>
        <v>Возвратные местоимения</v>
      </c>
      <c r="B16" s="1">
        <f>IFERROR(__xludf.DUMMYFUNCTION("""COMPUTED_VALUE"""),15.0)</f>
        <v>15</v>
      </c>
      <c r="C16" s="1" t="str">
        <f>IFERROR(__xludf.DUMMYFUNCTION("""COMPUTED_VALUE"""),"Утвердительные предложения в Past Simple")</f>
        <v>Утвердительные предложения в Past Simple</v>
      </c>
      <c r="D16" s="1">
        <f>IFERROR(__xludf.DUMMYFUNCTION("""COMPUTED_VALUE"""),115.0)</f>
        <v>115</v>
      </c>
      <c r="E16" s="1" t="str">
        <f>IFERROR(__xludf.DUMMYFUNCTION("""COMPUTED_VALUE"""),"Фразовый глагол set")</f>
        <v>Фразовый глагол set</v>
      </c>
      <c r="F16" s="1">
        <f>IFERROR(__xludf.DUMMYFUNCTION("""COMPUTED_VALUE"""),215.0)</f>
        <v>215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IFERROR(__xludf.DUMMYFUNCTION("""COMPUTED_VALUE"""),"Указательные местоимения")</f>
        <v>Указательные местоимения</v>
      </c>
      <c r="B17" s="1">
        <f>IFERROR(__xludf.DUMMYFUNCTION("""COMPUTED_VALUE"""),16.0)</f>
        <v>16</v>
      </c>
      <c r="C17" s="1" t="str">
        <f>IFERROR(__xludf.DUMMYFUNCTION("""COMPUTED_VALUE"""),"Отрицательные предложения в Past Simple")</f>
        <v>Отрицательные предложения в Past Simple</v>
      </c>
      <c r="D17" s="1">
        <f>IFERROR(__xludf.DUMMYFUNCTION("""COMPUTED_VALUE"""),116.0)</f>
        <v>116</v>
      </c>
      <c r="E17" s="1" t="str">
        <f>IFERROR(__xludf.DUMMYFUNCTION("""COMPUTED_VALUE"""),"Фразовый глагол get")</f>
        <v>Фразовый глагол get</v>
      </c>
      <c r="F17" s="1">
        <f>IFERROR(__xludf.DUMMYFUNCTION("""COMPUTED_VALUE"""),216.0)</f>
        <v>216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IFERROR(__xludf.DUMMYFUNCTION("""COMPUTED_VALUE"""),"Взаимные местоимения")</f>
        <v>Взаимные местоимения</v>
      </c>
      <c r="B18" s="1">
        <f>IFERROR(__xludf.DUMMYFUNCTION("""COMPUTED_VALUE"""),17.0)</f>
        <v>17</v>
      </c>
      <c r="C18" s="1" t="str">
        <f>IFERROR(__xludf.DUMMYFUNCTION("""COMPUTED_VALUE"""),"Окончаниe -ed глаголов")</f>
        <v>Окончаниe -ed глаголов</v>
      </c>
      <c r="D18" s="1">
        <f>IFERROR(__xludf.DUMMYFUNCTION("""COMPUTED_VALUE"""),117.0)</f>
        <v>117</v>
      </c>
      <c r="E18" s="1" t="str">
        <f>IFERROR(__xludf.DUMMYFUNCTION("""COMPUTED_VALUE"""),"Лексика ""Болезни""")</f>
        <v>Лексика "Болезни"</v>
      </c>
      <c r="F18" s="1">
        <f>IFERROR(__xludf.DUMMYFUNCTION("""COMPUTED_VALUE"""),217.0)</f>
        <v>217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IFERROR(__xludf.DUMMYFUNCTION("""COMPUTED_VALUE"""),"Вопросительные местоимения")</f>
        <v>Вопросительные местоимения</v>
      </c>
      <c r="B19" s="1">
        <f>IFERROR(__xludf.DUMMYFUNCTION("""COMPUTED_VALUE"""),18.0)</f>
        <v>18</v>
      </c>
      <c r="C19" s="1" t="str">
        <f>IFERROR(__xludf.DUMMYFUNCTION("""COMPUTED_VALUE""")," Вопросительные предложения в Past Simple")</f>
        <v> Вопросительные предложения в Past Simple</v>
      </c>
      <c r="D19" s="1">
        <f>IFERROR(__xludf.DUMMYFUNCTION("""COMPUTED_VALUE"""),118.0)</f>
        <v>118</v>
      </c>
      <c r="E19" s="1" t="str">
        <f>IFERROR(__xludf.DUMMYFUNCTION("""COMPUTED_VALUE"""),"Фразовый глагол take")</f>
        <v>Фразовый глагол take</v>
      </c>
      <c r="F19" s="1">
        <f>IFERROR(__xludf.DUMMYFUNCTION("""COMPUTED_VALUE"""),218.0)</f>
        <v>218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IFERROR(__xludf.DUMMYFUNCTION("""COMPUTED_VALUE"""),"Количественные местоимения")</f>
        <v>Количественные местоимения</v>
      </c>
      <c r="B20" s="1">
        <f>IFERROR(__xludf.DUMMYFUNCTION("""COMPUTED_VALUE"""),19.0)</f>
        <v>19</v>
      </c>
      <c r="C20" s="1" t="str">
        <f>IFERROR(__xludf.DUMMYFUNCTION("""COMPUTED_VALUE"""),"Слова-маркеры Past Simple")</f>
        <v>Слова-маркеры Past Simple</v>
      </c>
      <c r="D20" s="1">
        <f>IFERROR(__xludf.DUMMYFUNCTION("""COMPUTED_VALUE"""),119.0)</f>
        <v>119</v>
      </c>
      <c r="E20" s="1" t="str">
        <f>IFERROR(__xludf.DUMMYFUNCTION("""COMPUTED_VALUE"""),"Употребление look, see and watch")</f>
        <v>Употребление look, see and watch</v>
      </c>
      <c r="F20" s="1">
        <f>IFERROR(__xludf.DUMMYFUNCTION("""COMPUTED_VALUE"""),219.0)</f>
        <v>219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IFERROR(__xludf.DUMMYFUNCTION("""COMPUTED_VALUE"""),"Местоимение one / ones")</f>
        <v>Местоимение one / ones</v>
      </c>
      <c r="B21" s="1">
        <f>IFERROR(__xludf.DUMMYFUNCTION("""COMPUTED_VALUE"""),20.0)</f>
        <v>20</v>
      </c>
      <c r="C21" s="1" t="str">
        <f>IFERROR(__xludf.DUMMYFUNCTION("""COMPUTED_VALUE"""),"Утвердительные предложения в Past Continuous")</f>
        <v>Утвердительные предложения в Past Continuous</v>
      </c>
      <c r="D21" s="1">
        <f>IFERROR(__xludf.DUMMYFUNCTION("""COMPUTED_VALUE"""),120.0)</f>
        <v>120</v>
      </c>
      <c r="E21" s="1" t="str">
        <f>IFERROR(__xludf.DUMMYFUNCTION("""COMPUTED_VALUE"""),"Употребление hear and listen")</f>
        <v>Употребление hear and listen</v>
      </c>
      <c r="F21" s="1">
        <f>IFERROR(__xludf.DUMMYFUNCTION("""COMPUTED_VALUE"""),220.0)</f>
        <v>220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IFERROR(__xludf.DUMMYFUNCTION("""COMPUTED_VALUE"""),"Неопределенные местоимения")</f>
        <v>Неопределенные местоимения</v>
      </c>
      <c r="B22" s="1">
        <f>IFERROR(__xludf.DUMMYFUNCTION("""COMPUTED_VALUE"""),21.0)</f>
        <v>21</v>
      </c>
      <c r="C22" s="1" t="str">
        <f>IFERROR(__xludf.DUMMYFUNCTION("""COMPUTED_VALUE"""),"Отрицательные предложения в Past Continuous")</f>
        <v>Отрицательные предложения в Past Continuous</v>
      </c>
      <c r="D22" s="1">
        <f>IFERROR(__xludf.DUMMYFUNCTION("""COMPUTED_VALUE"""),121.0)</f>
        <v>121</v>
      </c>
      <c r="E22" s="1" t="str">
        <f>IFERROR(__xludf.DUMMYFUNCTION("""COMPUTED_VALUE"""),"Лексика ""Holidays""")</f>
        <v>Лексика "Holidays"</v>
      </c>
      <c r="F22" s="1">
        <f>IFERROR(__xludf.DUMMYFUNCTION("""COMPUTED_VALUE"""),221.0)</f>
        <v>221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IFERROR(__xludf.DUMMYFUNCTION("""COMPUTED_VALUE"""),"Общий вопрос")</f>
        <v>Общий вопрос</v>
      </c>
      <c r="B23" s="1">
        <f>IFERROR(__xludf.DUMMYFUNCTION("""COMPUTED_VALUE"""),22.0)</f>
        <v>22</v>
      </c>
      <c r="C23" s="1" t="str">
        <f>IFERROR(__xludf.DUMMYFUNCTION("""COMPUTED_VALUE""")," Вопросительные предложения в Past Continuous")</f>
        <v> Вопросительные предложения в Past Continuous</v>
      </c>
      <c r="D23" s="1">
        <f>IFERROR(__xludf.DUMMYFUNCTION("""COMPUTED_VALUE"""),122.0)</f>
        <v>122</v>
      </c>
      <c r="E23" s="1" t="str">
        <f>IFERROR(__xludf.DUMMYFUNCTION("""COMPUTED_VALUE"""),"Словообразование существительных")</f>
        <v>Словообразование существительных</v>
      </c>
      <c r="F23" s="1">
        <f>IFERROR(__xludf.DUMMYFUNCTION("""COMPUTED_VALUE"""),222.0)</f>
        <v>222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IFERROR(__xludf.DUMMYFUNCTION("""COMPUTED_VALUE"""),"Специальный вопрос")</f>
        <v>Специальный вопрос</v>
      </c>
      <c r="B24" s="1">
        <f>IFERROR(__xludf.DUMMYFUNCTION("""COMPUTED_VALUE"""),23.0)</f>
        <v>23</v>
      </c>
      <c r="C24" s="1" t="str">
        <f>IFERROR(__xludf.DUMMYFUNCTION("""COMPUTED_VALUE"""),"Слова-маркеры Past Continuous")</f>
        <v>Слова-маркеры Past Continuous</v>
      </c>
      <c r="D24" s="1">
        <f>IFERROR(__xludf.DUMMYFUNCTION("""COMPUTED_VALUE"""),123.0)</f>
        <v>123</v>
      </c>
      <c r="E24" s="1" t="str">
        <f>IFERROR(__xludf.DUMMYFUNCTION("""COMPUTED_VALUE"""),"Словообразование глаголов")</f>
        <v>Словообразование глаголов</v>
      </c>
      <c r="F24" s="1">
        <f>IFERROR(__xludf.DUMMYFUNCTION("""COMPUTED_VALUE"""),223.0)</f>
        <v>223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IFERROR(__xludf.DUMMYFUNCTION("""COMPUTED_VALUE"""),"Вопрос к подлежащему")</f>
        <v>Вопрос к подлежащему</v>
      </c>
      <c r="B25" s="1">
        <f>IFERROR(__xludf.DUMMYFUNCTION("""COMPUTED_VALUE"""),24.0)</f>
        <v>24</v>
      </c>
      <c r="C25" s="1" t="str">
        <f>IFERROR(__xludf.DUMMYFUNCTION("""COMPUTED_VALUE"""),"Утвердительные предложения в Present Perfect")</f>
        <v>Утвердительные предложения в Present Perfect</v>
      </c>
      <c r="D25" s="1">
        <f>IFERROR(__xludf.DUMMYFUNCTION("""COMPUTED_VALUE"""),124.0)</f>
        <v>124</v>
      </c>
      <c r="E25" s="1" t="str">
        <f>IFERROR(__xludf.DUMMYFUNCTION("""COMPUTED_VALUE"""),"Словообразование наречий")</f>
        <v>Словообразование наречий</v>
      </c>
      <c r="F25" s="1">
        <f>IFERROR(__xludf.DUMMYFUNCTION("""COMPUTED_VALUE"""),224.0)</f>
        <v>224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IFERROR(__xludf.DUMMYFUNCTION("""COMPUTED_VALUE"""),"Альтернативные вопросы")</f>
        <v>Альтернативные вопросы</v>
      </c>
      <c r="B26" s="1">
        <f>IFERROR(__xludf.DUMMYFUNCTION("""COMPUTED_VALUE"""),25.0)</f>
        <v>25</v>
      </c>
      <c r="C26" s="1" t="str">
        <f>IFERROR(__xludf.DUMMYFUNCTION("""COMPUTED_VALUE"""),"Отрицательные предложения в Present Perfect")</f>
        <v>Отрицательные предложения в Present Perfect</v>
      </c>
      <c r="D26" s="1">
        <f>IFERROR(__xludf.DUMMYFUNCTION("""COMPUTED_VALUE"""),125.0)</f>
        <v>125</v>
      </c>
      <c r="E26" s="1" t="str">
        <f>IFERROR(__xludf.DUMMYFUNCTION("""COMPUTED_VALUE"""),"Словообразование прилагательных")</f>
        <v>Словообразование прилагательных</v>
      </c>
      <c r="F26" s="1">
        <f>IFERROR(__xludf.DUMMYFUNCTION("""COMPUTED_VALUE"""),225.0)</f>
        <v>225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IFERROR(__xludf.DUMMYFUNCTION("""COMPUTED_VALUE"""),"Вспомогательные глаголы")</f>
        <v>Вспомогательные глаголы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IFERROR(__xludf.DUMMYFUNCTION("""COMPUTED_VALUE"""),"Лексика ""Sport activities""")</f>
        <v>Лексика "Sport activities"</v>
      </c>
      <c r="F27" s="1">
        <f>IFERROR(__xludf.DUMMYFUNCTION("""COMPUTED_VALUE"""),226.0)</f>
        <v>226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IFERROR(__xludf.DUMMYFUNCTION("""COMPUTED_VALUE"""),"Сложные предложения")</f>
        <v>Сложные предложения</v>
      </c>
      <c r="B28" s="1">
        <f>IFERROR(__xludf.DUMMYFUNCTION("""COMPUTED_VALUE"""),27.0)</f>
        <v>27</v>
      </c>
      <c r="C28" s="1" t="str">
        <f>IFERROR(__xludf.DUMMYFUNCTION("""COMPUTED_VALUE""")," Вопросительные предложения в Present Perfect")</f>
        <v> Вопросительные предложения в Present Perfect</v>
      </c>
      <c r="D28" s="1">
        <f>IFERROR(__xludf.DUMMYFUNCTION("""COMPUTED_VALUE"""),127.0)</f>
        <v>127</v>
      </c>
      <c r="E28" s="1" t="str">
        <f>IFERROR(__xludf.DUMMYFUNCTION("""COMPUTED_VALUE"""),"Прилагательные с окончаниями -ed и -ing")</f>
        <v>Прилагательные с окончаниями -ed и -ing</v>
      </c>
      <c r="F28" s="1">
        <f>IFERROR(__xludf.DUMMYFUNCTION("""COMPUTED_VALUE"""),227.0)</f>
        <v>227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IFERROR(__xludf.DUMMYFUNCTION("""COMPUTED_VALUE"""),"Существительные множественного числа")</f>
        <v>Существительные множественного числа</v>
      </c>
      <c r="B29" s="1">
        <f>IFERROR(__xludf.DUMMYFUNCTION("""COMPUTED_VALUE"""),28.0)</f>
        <v>28</v>
      </c>
      <c r="C29" s="1" t="str">
        <f>IFERROR(__xludf.DUMMYFUNCTION("""COMPUTED_VALUE"""),"Слова-маркеры Present Perfect")</f>
        <v>Слова-маркеры Present Perfect</v>
      </c>
      <c r="D29" s="1">
        <f>IFERROR(__xludf.DUMMYFUNCTION("""COMPUTED_VALUE"""),128.0)</f>
        <v>128</v>
      </c>
      <c r="E29" s="1" t="str">
        <f>IFERROR(__xludf.DUMMYFUNCTION("""COMPUTED_VALUE"""),"Лексика ""Spending money and shopping""")</f>
        <v>Лексика "Spending money and shopping"</v>
      </c>
      <c r="F29" s="1">
        <f>IFERROR(__xludf.DUMMYFUNCTION("""COMPUTED_VALUE"""),228.0)</f>
        <v>228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IFERROR(__xludf.DUMMYFUNCTION("""COMPUTED_VALUE"""),"Притяжательный падеж")</f>
        <v>Притяжательный падеж</v>
      </c>
      <c r="B30" s="1">
        <f>IFERROR(__xludf.DUMMYFUNCTION("""COMPUTED_VALUE"""),29.0)</f>
        <v>29</v>
      </c>
      <c r="C30" s="1" t="str">
        <f>IFERROR(__xludf.DUMMYFUNCTION("""COMPUTED_VALUE"""),"Утвердительные предложения в Past Perfect")</f>
        <v>Утвердительные предложения в Past Perfect</v>
      </c>
      <c r="D30" s="1">
        <f>IFERROR(__xludf.DUMMYFUNCTION("""COMPUTED_VALUE"""),129.0)</f>
        <v>129</v>
      </c>
      <c r="E30" s="1" t="str">
        <f>IFERROR(__xludf.DUMMYFUNCTION("""COMPUTED_VALUE"""),"Лексика ""Hobbies and Personalities""")</f>
        <v>Лексика "Hobbies and Personalities"</v>
      </c>
      <c r="F30" s="1">
        <f>IFERROR(__xludf.DUMMYFUNCTION("""COMPUTED_VALUE"""),229.0)</f>
        <v>229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IFERROR(__xludf.DUMMYFUNCTION("""COMPUTED_VALUE"""),"Причастия")</f>
        <v>Причастия</v>
      </c>
      <c r="B31" s="1">
        <f>IFERROR(__xludf.DUMMYFUNCTION("""COMPUTED_VALUE"""),30.0)</f>
        <v>30</v>
      </c>
      <c r="C31" s="1" t="str">
        <f>IFERROR(__xludf.DUMMYFUNCTION("""COMPUTED_VALUE"""),"Отрицательные предложения в Past Perfect")</f>
        <v>Отрицательные предложения в Past Perfect</v>
      </c>
      <c r="D31" s="1">
        <f>IFERROR(__xludf.DUMMYFUNCTION("""COMPUTED_VALUE"""),130.0)</f>
        <v>130</v>
      </c>
      <c r="E31" s="1" t="str">
        <f>IFERROR(__xludf.DUMMYFUNCTION("""COMPUTED_VALUE"""),"Лексика ""Travel and transport""")</f>
        <v>Лексика "Travel and transport"</v>
      </c>
      <c r="F31" s="1">
        <f>IFERROR(__xludf.DUMMYFUNCTION("""COMPUTED_VALUE"""),230.0)</f>
        <v>230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IFERROR(__xludf.DUMMYFUNCTION("""COMPUTED_VALUE"""),"Пунктуация в простых предложениях")</f>
        <v>Пунктуация в простых предложениях</v>
      </c>
      <c r="B32" s="1">
        <f>IFERROR(__xludf.DUMMYFUNCTION("""COMPUTED_VALUE"""),31.0)</f>
        <v>31</v>
      </c>
      <c r="C32" s="1" t="str">
        <f>IFERROR(__xludf.DUMMYFUNCTION("""COMPUTED_VALUE""")," Вопросительные предложения в Past Perfect")</f>
        <v> Вопросительные предложения в Past Perfect</v>
      </c>
      <c r="D32" s="1">
        <f>IFERROR(__xludf.DUMMYFUNCTION("""COMPUTED_VALUE"""),131.0)</f>
        <v>131</v>
      </c>
      <c r="E32" s="1" t="str">
        <f>IFERROR(__xludf.DUMMYFUNCTION("""COMPUTED_VALUE""")," Лексика ""Jobs""")</f>
        <v> Лексика "Jobs"</v>
      </c>
      <c r="F32" s="1">
        <f>IFERROR(__xludf.DUMMYFUNCTION("""COMPUTED_VALUE"""),231.0)</f>
        <v>231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IFERROR(__xludf.DUMMYFUNCTION("""COMPUTED_VALUE"""),"Пунктуация в сложных предложениях")</f>
        <v>Пунктуация в сложных предложениях</v>
      </c>
      <c r="B33" s="1">
        <f>IFERROR(__xludf.DUMMYFUNCTION("""COMPUTED_VALUE"""),32.0)</f>
        <v>32</v>
      </c>
      <c r="C33" s="1" t="str">
        <f>IFERROR(__xludf.DUMMYFUNCTION("""COMPUTED_VALUE"""),"Слова-маркеры Past Perfect")</f>
        <v>Слова-маркеры Past Perfect</v>
      </c>
      <c r="D33" s="1">
        <f>IFERROR(__xludf.DUMMYFUNCTION("""COMPUTED_VALUE"""),132.0)</f>
        <v>132</v>
      </c>
      <c r="E33" s="1" t="str">
        <f>IFERROR(__xludf.DUMMYFUNCTION("""COMPUTED_VALUE"""),"Лексика ""Science and technology""")</f>
        <v>Лексика "Science and technology"</v>
      </c>
      <c r="F33" s="1">
        <f>IFERROR(__xludf.DUMMYFUNCTION("""COMPUTED_VALUE"""),232.0)</f>
        <v>232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IFERROR(__xludf.DUMMYFUNCTION("""COMPUTED_VALUE"""),"Пунктуация в сложноподчиненных предложениях")</f>
        <v>Пунктуация в сложноподчиненных предложениях</v>
      </c>
      <c r="B34" s="1">
        <f>IFERROR(__xludf.DUMMYFUNCTION("""COMPUTED_VALUE"""),33.0)</f>
        <v>33</v>
      </c>
      <c r="C34" s="1" t="str">
        <f>IFERROR(__xludf.DUMMYFUNCTION("""COMPUTED_VALUE"""),"Утвердительные предложения в Future Simple")</f>
        <v>Утвердительные предложения в Future Simple</v>
      </c>
      <c r="D34" s="1">
        <f>IFERROR(__xludf.DUMMYFUNCTION("""COMPUTED_VALUE"""),133.0)</f>
        <v>133</v>
      </c>
      <c r="E34" s="1" t="str">
        <f>IFERROR(__xludf.DUMMYFUNCTION("""COMPUTED_VALUE"""),"Лексика ""The media""")</f>
        <v>Лексика "The media"</v>
      </c>
      <c r="F34" s="1">
        <f>IFERROR(__xludf.DUMMYFUNCTION("""COMPUTED_VALUE"""),233.0)</f>
        <v>233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IFERROR(__xludf.DUMMYFUNCTION("""COMPUTED_VALUE"""),"Relative Clauses")</f>
        <v>Relative Clauses</v>
      </c>
      <c r="B35" s="1">
        <f>IFERROR(__xludf.DUMMYFUNCTION("""COMPUTED_VALUE"""),34.0)</f>
        <v>34</v>
      </c>
      <c r="C35" s="1" t="str">
        <f>IFERROR(__xludf.DUMMYFUNCTION("""COMPUTED_VALUE"""),"Отрицательные предложения в Future Simple")</f>
        <v>Отрицательные предложения в Future Simple</v>
      </c>
      <c r="D35" s="1">
        <f>IFERROR(__xludf.DUMMYFUNCTION("""COMPUTED_VALUE"""),134.0)</f>
        <v>134</v>
      </c>
      <c r="E35" s="1" t="str">
        <f>IFERROR(__xludf.DUMMYFUNCTION("""COMPUTED_VALUE"""),"Лексика ""People and Society""")</f>
        <v>Лексика "People and Society"</v>
      </c>
      <c r="F35" s="1">
        <f>IFERROR(__xludf.DUMMYFUNCTION("""COMPUTED_VALUE"""),234.0)</f>
        <v>234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IFERROR(__xludf.DUMMYFUNCTION("""COMPUTED_VALUE"""),"Согласование времён в косвенной речи")</f>
        <v>Согласование времён в косвенной речи</v>
      </c>
      <c r="B36" s="1">
        <f>IFERROR(__xludf.DUMMYFUNCTION("""COMPUTED_VALUE"""),35.0)</f>
        <v>35</v>
      </c>
      <c r="C36" s="1" t="str">
        <f>IFERROR(__xludf.DUMMYFUNCTION("""COMPUTED_VALUE""")," Вопросительные предложения в Future Simple")</f>
        <v> Вопросительные предложения в Future Simple</v>
      </c>
      <c r="D36" s="1">
        <f>IFERROR(__xludf.DUMMYFUNCTION("""COMPUTED_VALUE"""),135.0)</f>
        <v>135</v>
      </c>
      <c r="E36" s="1" t="str">
        <f>IFERROR(__xludf.DUMMYFUNCTION("""COMPUTED_VALUE"""),"Лексика ""The law and crime""")</f>
        <v>Лексика "The law and crime"</v>
      </c>
      <c r="F36" s="1">
        <f>IFERROR(__xludf.DUMMYFUNCTION("""COMPUTED_VALUE"""),235.0)</f>
        <v>235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IFERROR(__xludf.DUMMYFUNCTION("""COMPUTED_VALUE"""),"Образование сравнительной степени прилагательных с помощью -er")</f>
        <v>Образование сравнительной степени прилагательных с помощью -er</v>
      </c>
      <c r="B37" s="1">
        <f>IFERROR(__xludf.DUMMYFUNCTION("""COMPUTED_VALUE"""),36.0)</f>
        <v>36</v>
      </c>
      <c r="C37" s="1" t="str">
        <f>IFERROR(__xludf.DUMMYFUNCTION("""COMPUTED_VALUE"""),"Слова-маркеры Future Simple")</f>
        <v>Слова-маркеры Future Simple</v>
      </c>
      <c r="D37" s="1">
        <f>IFERROR(__xludf.DUMMYFUNCTION("""COMPUTED_VALUE"""),136.0)</f>
        <v>136</v>
      </c>
      <c r="E37" s="1" t="str">
        <f>IFERROR(__xludf.DUMMYFUNCTION("""COMPUTED_VALUE"""),"Лексика ""Health and fitness""")</f>
        <v>Лексика "Health and fitness"</v>
      </c>
      <c r="F37" s="1">
        <f>IFERROR(__xludf.DUMMYFUNCTION("""COMPUTED_VALUE"""),236.0)</f>
        <v>236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IFERROR(__xludf.DUMMYFUNCTION("""COMPUTED_VALUE"""),"Образование сравнительной степени прилагательных с помощью more")</f>
        <v>Образование сравнительной степени прилагательных с помощью more</v>
      </c>
      <c r="B38" s="1">
        <f>IFERROR(__xludf.DUMMYFUNCTION("""COMPUTED_VALUE"""),37.0)</f>
        <v>37</v>
      </c>
      <c r="C38" s="1" t="str">
        <f>IFERROR(__xludf.DUMMYFUNCTION("""COMPUTED_VALUE"""),"Утвердительные предложения в Future Continuous")</f>
        <v>Утвердительные предложения в Future Continuous</v>
      </c>
      <c r="D38" s="1">
        <f>IFERROR(__xludf.DUMMYFUNCTION("""COMPUTED_VALUE"""),137.0)</f>
        <v>137</v>
      </c>
      <c r="E38" s="1" t="str">
        <f>IFERROR(__xludf.DUMMYFUNCTION("""COMPUTED_VALUE"""),"Лексика ""Food and drink""")</f>
        <v>Лексика "Food and drink"</v>
      </c>
      <c r="F38" s="1">
        <f>IFERROR(__xludf.DUMMYFUNCTION("""COMPUTED_VALUE"""),237.0)</f>
        <v>237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IFERROR(__xludf.DUMMYFUNCTION("""COMPUTED_VALUE"""),"Образование превосходной степени прилагательных с помощью -est")</f>
        <v>Образование превосходной степени прилагательных с помощью -est</v>
      </c>
      <c r="B39" s="1">
        <f>IFERROR(__xludf.DUMMYFUNCTION("""COMPUTED_VALUE"""),38.0)</f>
        <v>38</v>
      </c>
      <c r="C39" s="1" t="str">
        <f>IFERROR(__xludf.DUMMYFUNCTION("""COMPUTED_VALUE"""),"Who, which, that, whom")</f>
        <v>Who, which, that, whom</v>
      </c>
      <c r="D39" s="1">
        <f>IFERROR(__xludf.DUMMYFUNCTION("""COMPUTED_VALUE"""),138.0)</f>
        <v>138</v>
      </c>
      <c r="E39" s="1" t="str">
        <f>IFERROR(__xludf.DUMMYFUNCTION("""COMPUTED_VALUE"""),"Лексика ""Education and learning""")</f>
        <v>Лексика "Education and learning"</v>
      </c>
      <c r="F39" s="1">
        <f>IFERROR(__xludf.DUMMYFUNCTION("""COMPUTED_VALUE"""),238.0)</f>
        <v>238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IFERROR(__xludf.DUMMYFUNCTION("""COMPUTED_VALUE"""),"Превосходная степень сложных прилагательных")</f>
        <v>Превосходная степень сложных прилагательных</v>
      </c>
      <c r="B40" s="1">
        <f>IFERROR(__xludf.DUMMYFUNCTION("""COMPUTED_VALUE"""),39.0)</f>
        <v>39</v>
      </c>
      <c r="C40" s="1" t="str">
        <f>IFERROR(__xludf.DUMMYFUNCTION("""COMPUTED_VALUE"""),"Предположительные контрукции")</f>
        <v>Предположительные контрукции</v>
      </c>
      <c r="D40" s="1">
        <f>IFERROR(__xludf.DUMMYFUNCTION("""COMPUTED_VALUE"""),139.0)</f>
        <v>139</v>
      </c>
      <c r="E40" s="1" t="str">
        <f>IFERROR(__xludf.DUMMYFUNCTION("""COMPUTED_VALUE"""),"Лексика ""Weather and environment""")</f>
        <v>Лексика "Weather and environment"</v>
      </c>
      <c r="F40" s="1">
        <f>IFERROR(__xludf.DUMMYFUNCTION("""COMPUTED_VALUE"""),239.0)</f>
        <v>239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IFERROR(__xludf.DUMMYFUNCTION("""COMPUTED_VALUE"""),"Исключения в сравнении прилагательных")</f>
        <v>Исключения в сравнении прилагательных</v>
      </c>
      <c r="B41" s="1">
        <f>IFERROR(__xludf.DUMMYFUNCTION("""COMPUTED_VALUE"""),40.0)</f>
        <v>40</v>
      </c>
      <c r="C41" s="1" t="str">
        <f>IFERROR(__xludf.DUMMYFUNCTION("""COMPUTED_VALUE"""),"Отрицательные предложения в Future Continuous")</f>
        <v>Отрицательные предложения в Future Continuous</v>
      </c>
      <c r="D41" s="1">
        <f>IFERROR(__xludf.DUMMYFUNCTION("""COMPUTED_VALUE"""),140.0)</f>
        <v>140</v>
      </c>
      <c r="E41" s="1" t="str">
        <f>IFERROR(__xludf.DUMMYFUNCTION("""COMPUTED_VALUE"""),"Лексика ""Money and shopping""")</f>
        <v>Лексика "Money and shopping"</v>
      </c>
      <c r="F41" s="1">
        <f>IFERROR(__xludf.DUMMYFUNCTION("""COMPUTED_VALUE"""),240.0)</f>
        <v>240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IFERROR(__xludf.DUMMYFUNCTION("""COMPUTED_VALUE"""),"Оборот as...as")</f>
        <v>Оборот as...as</v>
      </c>
      <c r="B42" s="1">
        <f>IFERROR(__xludf.DUMMYFUNCTION("""COMPUTED_VALUE"""),41.0)</f>
        <v>41</v>
      </c>
      <c r="C42" s="1" t="str">
        <f>IFERROR(__xludf.DUMMYFUNCTION("""COMPUTED_VALUE""")," Вопросительные предложения в Future Continuous")</f>
        <v> Вопросительные предложения в Future Continuous</v>
      </c>
      <c r="D42" s="1">
        <f>IFERROR(__xludf.DUMMYFUNCTION("""COMPUTED_VALUE"""),141.0)</f>
        <v>141</v>
      </c>
      <c r="E42" s="1" t="str">
        <f>IFERROR(__xludf.DUMMYFUNCTION("""COMPUTED_VALUE"""),"Лексика ""Entertainment""")</f>
        <v>Лексика "Entertainment"</v>
      </c>
      <c r="F42" s="1">
        <f>IFERROR(__xludf.DUMMYFUNCTION("""COMPUTED_VALUE"""),241.0)</f>
        <v>241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IFERROR(__xludf.DUMMYFUNCTION("""COMPUTED_VALUE"""),"Инфинитив и герундий после глаголов")</f>
        <v>Инфинитив и герундий после глаголов</v>
      </c>
      <c r="B43" s="1">
        <f>IFERROR(__xludf.DUMMYFUNCTION("""COMPUTED_VALUE"""),42.0)</f>
        <v>42</v>
      </c>
      <c r="C43" s="1" t="str">
        <f>IFERROR(__xludf.DUMMYFUNCTION("""COMPUTED_VALUE"""),"Слова-маркеры Future Continuous")</f>
        <v>Слова-маркеры Future Continuous</v>
      </c>
      <c r="D43" s="1">
        <f>IFERROR(__xludf.DUMMYFUNCTION("""COMPUTED_VALUE"""),142.0)</f>
        <v>142</v>
      </c>
      <c r="E43" s="1" t="str">
        <f>IFERROR(__xludf.DUMMYFUNCTION("""COMPUTED_VALUE"""),"Лексика ""Work and business""")</f>
        <v>Лексика "Work and business"</v>
      </c>
      <c r="F43" s="1">
        <f>IFERROR(__xludf.DUMMYFUNCTION("""COMPUTED_VALUE"""),242.0)</f>
        <v>242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IFERROR(__xludf.DUMMYFUNCTION("""COMPUTED_VALUE"""),"Употребление Bare Infinitive (инфинитив без частицы to)")</f>
        <v>Употребление Bare Infinitive (инфинитив без частицы to)</v>
      </c>
      <c r="B44" s="1">
        <f>IFERROR(__xludf.DUMMYFUNCTION("""COMPUTED_VALUE"""),43.0)</f>
        <v>43</v>
      </c>
      <c r="C44" s="1" t="str">
        <f>IFERROR(__xludf.DUMMYFUNCTION("""COMPUTED_VALUE"""),"Утвердительные предложения в Future Perfect")</f>
        <v>Утвердительные предложения в Future Perfect</v>
      </c>
      <c r="D44" s="1">
        <f>IFERROR(__xludf.DUMMYFUNCTION("""COMPUTED_VALUE"""),143.0)</f>
        <v>143</v>
      </c>
      <c r="E44" s="1" t="str">
        <f>IFERROR(__xludf.DUMMYFUNCTION("""COMPUTED_VALUE"""),"Употребление although, though, even though")</f>
        <v>Употребление although, though, even though</v>
      </c>
      <c r="F44" s="1">
        <f>IFERROR(__xludf.DUMMYFUNCTION("""COMPUTED_VALUE"""),243.0)</f>
        <v>243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IFERROR(__xludf.DUMMYFUNCTION("""COMPUTED_VALUE"""),"Stative Verbs")</f>
        <v>Stative Verbs</v>
      </c>
      <c r="B45" s="1">
        <f>IFERROR(__xludf.DUMMYFUNCTION("""COMPUTED_VALUE"""),44.0)</f>
        <v>44</v>
      </c>
      <c r="C45" s="1" t="str">
        <f>IFERROR(__xludf.DUMMYFUNCTION("""COMPUTED_VALUE"""),"Отрицательные предложения в Future Perfect")</f>
        <v>Отрицательные предложения в Future Perfect</v>
      </c>
      <c r="D45" s="1">
        <f>IFERROR(__xludf.DUMMYFUNCTION("""COMPUTED_VALUE"""),144.0)</f>
        <v>144</v>
      </c>
      <c r="E45" s="1" t="str">
        <f>IFERROR(__xludf.DUMMYFUNCTION("""COMPUTED_VALUE"""),"Употребление in spite of, despite")</f>
        <v>Употребление in spite of, despite</v>
      </c>
      <c r="F45" s="1">
        <f>IFERROR(__xludf.DUMMYFUNCTION("""COMPUTED_VALUE"""),244.0)</f>
        <v>244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IFERROR(__xludf.DUMMYFUNCTION("""COMPUTED_VALUE"""),"Нулевой тип условных предложений")</f>
        <v>Нулевой тип условных предложений</v>
      </c>
      <c r="B46" s="1">
        <f>IFERROR(__xludf.DUMMYFUNCTION("""COMPUTED_VALUE"""),45.0)</f>
        <v>45</v>
      </c>
      <c r="C46" s="1" t="str">
        <f>IFERROR(__xludf.DUMMYFUNCTION("""COMPUTED_VALUE""")," Вопросительные предложения в Future Perfect")</f>
        <v> Вопросительные предложения в Future Perfect</v>
      </c>
      <c r="D46" s="1">
        <f>IFERROR(__xludf.DUMMYFUNCTION("""COMPUTED_VALUE"""),145.0)</f>
        <v>145</v>
      </c>
      <c r="E46" s="1" t="str">
        <f>IFERROR(__xludf.DUMMYFUNCTION("""COMPUTED_VALUE"""),"Фразовый глагол bring")</f>
        <v>Фразовый глагол bring</v>
      </c>
      <c r="F46" s="1">
        <f>IFERROR(__xludf.DUMMYFUNCTION("""COMPUTED_VALUE"""),245.0)</f>
        <v>245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IFERROR(__xludf.DUMMYFUNCTION("""COMPUTED_VALUE"""),"Первый тип условных предложений")</f>
        <v>Первый тип условных предложений</v>
      </c>
      <c r="B47" s="1">
        <f>IFERROR(__xludf.DUMMYFUNCTION("""COMPUTED_VALUE"""),46.0)</f>
        <v>46</v>
      </c>
      <c r="C47" s="1" t="str">
        <f>IFERROR(__xludf.DUMMYFUNCTION("""COMPUTED_VALUE"""),"Слова-маркеры Future Perfect")</f>
        <v>Слова-маркеры Future Perfect</v>
      </c>
      <c r="D47" s="1">
        <f>IFERROR(__xludf.DUMMYFUNCTION("""COMPUTED_VALUE"""),146.0)</f>
        <v>146</v>
      </c>
      <c r="E47" s="1" t="str">
        <f>IFERROR(__xludf.DUMMYFUNCTION("""COMPUTED_VALUE"""),"Фразовый глагол  call")</f>
        <v>Фразовый глагол  call</v>
      </c>
      <c r="F47" s="1">
        <f>IFERROR(__xludf.DUMMYFUNCTION("""COMPUTED_VALUE"""),246.0)</f>
        <v>246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IFERROR(__xludf.DUMMYFUNCTION("""COMPUTED_VALUE"""),"Второй тип условных предложений")</f>
        <v>Второй тип условных предложений</v>
      </c>
      <c r="B48" s="1">
        <f>IFERROR(__xludf.DUMMYFUNCTION("""COMPUTED_VALUE"""),47.0)</f>
        <v>47</v>
      </c>
      <c r="C48" s="1" t="str">
        <f>IFERROR(__xludf.DUMMYFUNCTION("""COMPUTED_VALUE"""),"Утвердительные предложения в Present Perfect Continuous")</f>
        <v>Утвердительные предложения в Present Perfect Continuous</v>
      </c>
      <c r="D48" s="1">
        <f>IFERROR(__xludf.DUMMYFUNCTION("""COMPUTED_VALUE"""),147.0)</f>
        <v>147</v>
      </c>
      <c r="E48" s="1" t="str">
        <f>IFERROR(__xludf.DUMMYFUNCTION("""COMPUTED_VALUE"""),"Фразовый глагол  carry")</f>
        <v>Фразовый глагол  carry</v>
      </c>
      <c r="F48" s="1">
        <f>IFERROR(__xludf.DUMMYFUNCTION("""COMPUTED_VALUE"""),247.0)</f>
        <v>247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IFERROR(__xludf.DUMMYFUNCTION("""COMPUTED_VALUE"""),"Третий тип условных предложений")</f>
        <v>Третий тип условных предложений</v>
      </c>
      <c r="B49" s="1">
        <f>IFERROR(__xludf.DUMMYFUNCTION("""COMPUTED_VALUE"""),48.0)</f>
        <v>48</v>
      </c>
      <c r="C49" s="1" t="str">
        <f>IFERROR(__xludf.DUMMYFUNCTION("""COMPUTED_VALUE"""),"Отрицательные предложения в Present Perfect Continuous")</f>
        <v>Отрицательные предложения в Present Perfect Continuous</v>
      </c>
      <c r="D49" s="1">
        <f>IFERROR(__xludf.DUMMYFUNCTION("""COMPUTED_VALUE"""),148.0)</f>
        <v>148</v>
      </c>
      <c r="E49" s="1" t="str">
        <f>IFERROR(__xludf.DUMMYFUNCTION("""COMPUTED_VALUE"""),"Фразовый глагол  catch")</f>
        <v>Фразовый глагол  catch</v>
      </c>
      <c r="F49" s="1">
        <f>IFERROR(__xludf.DUMMYFUNCTION("""COMPUTED_VALUE"""),248.0)</f>
        <v>248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IFERROR(__xludf.DUMMYFUNCTION("""COMPUTED_VALUE"""),"Конструкция «I wish..»")</f>
        <v>Конструкция «I wish..»</v>
      </c>
      <c r="B50" s="1">
        <f>IFERROR(__xludf.DUMMYFUNCTION("""COMPUTED_VALUE"""),49.0)</f>
        <v>49</v>
      </c>
      <c r="C50" s="1" t="str">
        <f>IFERROR(__xludf.DUMMYFUNCTION("""COMPUTED_VALUE""")," Вопросительные предложения в Present Perfect Continuous")</f>
        <v> Вопросительные предложения в Present Perfect Continuous</v>
      </c>
      <c r="D50" s="1">
        <f>IFERROR(__xludf.DUMMYFUNCTION("""COMPUTED_VALUE"""),149.0)</f>
        <v>149</v>
      </c>
      <c r="E50" s="1" t="str">
        <f>IFERROR(__xludf.DUMMYFUNCTION("""COMPUTED_VALUE"""),"Фразовый глагол come")</f>
        <v>Фразовый глагол come</v>
      </c>
      <c r="F50" s="1">
        <f>IFERROR(__xludf.DUMMYFUNCTION("""COMPUTED_VALUE"""),249.0)</f>
        <v>249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IFERROR(__xludf.DUMMYFUNCTION("""COMPUTED_VALUE"""),"Модальный глагол ""can""")</f>
        <v>Модальный глагол "can"</v>
      </c>
      <c r="B51" s="1">
        <f>IFERROR(__xludf.DUMMYFUNCTION("""COMPUTED_VALUE"""),50.0)</f>
        <v>50</v>
      </c>
      <c r="C51" s="1" t="str">
        <f>IFERROR(__xludf.DUMMYFUNCTION("""COMPUTED_VALUE"""),"Слова-маркеры Present Perfect Continuous")</f>
        <v>Слова-маркеры Present Perfect Continuous</v>
      </c>
      <c r="D51" s="1">
        <f>IFERROR(__xludf.DUMMYFUNCTION("""COMPUTED_VALUE"""),150.0)</f>
        <v>150</v>
      </c>
      <c r="E51" s="1" t="str">
        <f>IFERROR(__xludf.DUMMYFUNCTION("""COMPUTED_VALUE"""),"Фразовый глагол get")</f>
        <v>Фразовый глагол get</v>
      </c>
      <c r="F51" s="1">
        <f>IFERROR(__xludf.DUMMYFUNCTION("""COMPUTED_VALUE"""),250.0)</f>
        <v>250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IFERROR(__xludf.DUMMYFUNCTION("""COMPUTED_VALUE"""),"Модальный глагол ""may""")</f>
        <v>Модальный глагол "may"</v>
      </c>
      <c r="B52" s="1">
        <f>IFERROR(__xludf.DUMMYFUNCTION("""COMPUTED_VALUE"""),51.0)</f>
        <v>51</v>
      </c>
      <c r="C52" s="1" t="str">
        <f>IFERROR(__xludf.DUMMYFUNCTION("""COMPUTED_VALUE"""),"Утвердительные предложения в Past Perfect Continuous")</f>
        <v>Утвердительные предложения в Past Perfect Continuous</v>
      </c>
      <c r="D52" s="1">
        <f>IFERROR(__xludf.DUMMYFUNCTION("""COMPUTED_VALUE"""),151.0)</f>
        <v>151</v>
      </c>
      <c r="E52" s="1" t="str">
        <f>IFERROR(__xludf.DUMMYFUNCTION("""COMPUTED_VALUE"""),"Фразовый глагол give")</f>
        <v>Фразовый глагол give</v>
      </c>
      <c r="F52" s="1">
        <f>IFERROR(__xludf.DUMMYFUNCTION("""COMPUTED_VALUE"""),251.0)</f>
        <v>251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IFERROR(__xludf.DUMMYFUNCTION("""COMPUTED_VALUE"""),"Модальный глаголы ""shall"" и ""should""")</f>
        <v>Модальный глаголы "shall" и "should"</v>
      </c>
      <c r="B53" s="1">
        <f>IFERROR(__xludf.DUMMYFUNCTION("""COMPUTED_VALUE"""),52.0)</f>
        <v>52</v>
      </c>
      <c r="C53" s="1" t="str">
        <f>IFERROR(__xludf.DUMMYFUNCTION("""COMPUTED_VALUE"""),"Отрицательные предложения в Past Perfect Continuous")</f>
        <v>Отрицательные предложения в Past Perfect Continuous</v>
      </c>
      <c r="D53" s="1">
        <f>IFERROR(__xludf.DUMMYFUNCTION("""COMPUTED_VALUE"""),152.0)</f>
        <v>152</v>
      </c>
      <c r="E53" s="1" t="str">
        <f>IFERROR(__xludf.DUMMYFUNCTION("""COMPUTED_VALUE"""),"Фразовый глагол go")</f>
        <v>Фразовый глагол go</v>
      </c>
      <c r="F53" s="1">
        <f>IFERROR(__xludf.DUMMYFUNCTION("""COMPUTED_VALUE"""),252.0)</f>
        <v>252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IFERROR(__xludf.DUMMYFUNCTION("""COMPUTED_VALUE"""),"Модальный глагол ""ought to""")</f>
        <v>Модальный глагол "ought to"</v>
      </c>
      <c r="B54" s="1">
        <f>IFERROR(__xludf.DUMMYFUNCTION("""COMPUTED_VALUE"""),53.0)</f>
        <v>53</v>
      </c>
      <c r="C54" s="1" t="str">
        <f>IFERROR(__xludf.DUMMYFUNCTION("""COMPUTED_VALUE""")," Вопросительные предложения в Past Perfect Continuous")</f>
        <v> Вопросительные предложения в Past Perfect Continuous</v>
      </c>
      <c r="D54" s="1">
        <f>IFERROR(__xludf.DUMMYFUNCTION("""COMPUTED_VALUE"""),153.0)</f>
        <v>153</v>
      </c>
      <c r="E54" s="1" t="str">
        <f>IFERROR(__xludf.DUMMYFUNCTION("""COMPUTED_VALUE"""),"Фразовый глагол look")</f>
        <v>Фразовый глагол look</v>
      </c>
      <c r="F54" s="1">
        <f>IFERROR(__xludf.DUMMYFUNCTION("""COMPUTED_VALUE"""),253.0)</f>
        <v>253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IFERROR(__xludf.DUMMYFUNCTION("""COMPUTED_VALUE"""),"Модальный глагол ""must""")</f>
        <v>Модальный глагол "must"</v>
      </c>
      <c r="B55" s="1">
        <f>IFERROR(__xludf.DUMMYFUNCTION("""COMPUTED_VALUE"""),54.0)</f>
        <v>54</v>
      </c>
      <c r="C55" s="1" t="str">
        <f>IFERROR(__xludf.DUMMYFUNCTION("""COMPUTED_VALUE"""),"Слова-маркеры Past Perfect Continuous")</f>
        <v>Слова-маркеры Past Perfect Continuous</v>
      </c>
      <c r="D55" s="1">
        <f>IFERROR(__xludf.DUMMYFUNCTION("""COMPUTED_VALUE"""),154.0)</f>
        <v>154</v>
      </c>
      <c r="E55" s="1" t="str">
        <f>IFERROR(__xludf.DUMMYFUNCTION("""COMPUTED_VALUE"""),"Фразовый глагол make")</f>
        <v>Фразовый глагол make</v>
      </c>
      <c r="F55" s="1">
        <f>IFERROR(__xludf.DUMMYFUNCTION("""COMPUTED_VALUE"""),254.0)</f>
        <v>254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IFERROR(__xludf.DUMMYFUNCTION("""COMPUTED_VALUE"""),"Модальный глагол ""have to""")</f>
        <v>Модальный глагол "have to"</v>
      </c>
      <c r="B56" s="1">
        <f>IFERROR(__xludf.DUMMYFUNCTION("""COMPUTED_VALUE"""),55.0)</f>
        <v>55</v>
      </c>
      <c r="C56" s="1" t="str">
        <f>IFERROR(__xludf.DUMMYFUNCTION("""COMPUTED_VALUE"""),"Present Continuous для выражения будущего")</f>
        <v>Present Continuous для выражения будущего</v>
      </c>
      <c r="D56" s="1">
        <f>IFERROR(__xludf.DUMMYFUNCTION("""COMPUTED_VALUE"""),155.0)</f>
        <v>155</v>
      </c>
      <c r="E56" s="1" t="str">
        <f>IFERROR(__xludf.DUMMYFUNCTION("""COMPUTED_VALUE"""),"Фразовый глагол pull")</f>
        <v>Фразовый глагол pull</v>
      </c>
      <c r="F56" s="1">
        <f>IFERROR(__xludf.DUMMYFUNCTION("""COMPUTED_VALUE"""),255.0)</f>
        <v>255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IFERROR(__xludf.DUMMYFUNCTION("""COMPUTED_VALUE"""),"Модальный глагол ""might""")</f>
        <v>Модальный глагол "might"</v>
      </c>
      <c r="B57" s="1">
        <f>IFERROR(__xludf.DUMMYFUNCTION("""COMPUTED_VALUE"""),56.0)</f>
        <v>56</v>
      </c>
      <c r="C57" s="1" t="str">
        <f>IFERROR(__xludf.DUMMYFUNCTION("""COMPUTED_VALUE"""),"Future in the Past")</f>
        <v>Future in the Past</v>
      </c>
      <c r="D57" s="1">
        <f>IFERROR(__xludf.DUMMYFUNCTION("""COMPUTED_VALUE"""),156.0)</f>
        <v>156</v>
      </c>
      <c r="E57" s="1" t="str">
        <f>IFERROR(__xludf.DUMMYFUNCTION("""COMPUTED_VALUE"""),"Фразовый глагол put")</f>
        <v>Фразовый глагол put</v>
      </c>
      <c r="F57" s="1">
        <f>IFERROR(__xludf.DUMMYFUNCTION("""COMPUTED_VALUE"""),256.0)</f>
        <v>256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IFERROR(__xludf.DUMMYFUNCTION("""COMPUTED_VALUE"""),"Глагол be to")</f>
        <v>Глагол be to</v>
      </c>
      <c r="B58" s="1">
        <f>IFERROR(__xludf.DUMMYFUNCTION("""COMPUTED_VALUE"""),57.0)</f>
        <v>57</v>
      </c>
      <c r="C58" s="1" t="str">
        <f>IFERROR(__xludf.DUMMYFUNCTION("""COMPUTED_VALUE"""),"Вопросительные предложения в Future Perfect Continuous")</f>
        <v>Вопросительные предложения в Future Perfect Continuous</v>
      </c>
      <c r="D58" s="1">
        <f>IFERROR(__xludf.DUMMYFUNCTION("""COMPUTED_VALUE"""),157.0)</f>
        <v>157</v>
      </c>
      <c r="E58" s="1" t="str">
        <f>IFERROR(__xludf.DUMMYFUNCTION("""COMPUTED_VALUE"""),"Лексика ""Досуг и увлечения""")</f>
        <v>Лексика "Досуг и увлечения"</v>
      </c>
      <c r="F58" s="1">
        <f>IFERROR(__xludf.DUMMYFUNCTION("""COMPUTED_VALUE"""),257.0)</f>
        <v>257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IFERROR(__xludf.DUMMYFUNCTION("""COMPUTED_VALUE"""),"Конструкция used to")</f>
        <v>Конструкция used to</v>
      </c>
      <c r="B59" s="1">
        <f>IFERROR(__xludf.DUMMYFUNCTION("""COMPUTED_VALUE"""),58.0)</f>
        <v>58</v>
      </c>
      <c r="C59" s="1"/>
      <c r="D59" s="1"/>
      <c r="E59" s="1" t="str">
        <f>IFERROR(__xludf.DUMMYFUNCTION("""COMPUTED_VALUE"""),"Лексика ""Проблемы выбора профессии и роль иностранных языков""")</f>
        <v>Лексика "Проблемы выбора профессии и роль иностранных языков"</v>
      </c>
      <c r="F59" s="1">
        <f>IFERROR(__xludf.DUMMYFUNCTION("""COMPUTED_VALUE"""),258.0)</f>
        <v>258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IFERROR(__xludf.DUMMYFUNCTION("""COMPUTED_VALUE"""),"Конструкция to be used to")</f>
        <v>Конструкция to be used to</v>
      </c>
      <c r="B60" s="1">
        <f>IFERROR(__xludf.DUMMYFUNCTION("""COMPUTED_VALUE"""),59.0)</f>
        <v>59</v>
      </c>
      <c r="C60" s="1"/>
      <c r="D60" s="1"/>
      <c r="E60" s="1" t="str">
        <f>IFERROR(__xludf.DUMMYFUNCTION("""COMPUTED_VALUE"""),"Лексика ""Природа""")</f>
        <v>Лексика "Природа"</v>
      </c>
      <c r="F60" s="1">
        <f>IFERROR(__xludf.DUMMYFUNCTION("""COMPUTED_VALUE"""),259.0)</f>
        <v>259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IFERROR(__xludf.DUMMYFUNCTION("""COMPUTED_VALUE"""),"Конструкция to be going to")</f>
        <v>Конструкция to be going to</v>
      </c>
      <c r="B61" s="1">
        <f>IFERROR(__xludf.DUMMYFUNCTION("""COMPUTED_VALUE"""),60.0)</f>
        <v>60</v>
      </c>
      <c r="C61" s="1"/>
      <c r="D61" s="1"/>
      <c r="E61" s="1" t="str">
        <f>IFERROR(__xludf.DUMMYFUNCTION("""COMPUTED_VALUE"""),"Лексика ""Взаимоотношения в семье""")</f>
        <v>Лексика "Взаимоотношения в семье"</v>
      </c>
      <c r="F61" s="1">
        <f>IFERROR(__xludf.DUMMYFUNCTION("""COMPUTED_VALUE"""),260.0)</f>
        <v>260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IFERROR(__xludf.DUMMYFUNCTION("""COMPUTED_VALUE"""),"Вопросительное предложение с модальным глаголом")</f>
        <v>Вопросительное предложение с модальным глаголом</v>
      </c>
      <c r="B62" s="1">
        <f>IFERROR(__xludf.DUMMYFUNCTION("""COMPUTED_VALUE"""),61.0)</f>
        <v>61</v>
      </c>
      <c r="C62" s="1"/>
      <c r="D62" s="1"/>
      <c r="E62" s="1" t="str">
        <f>IFERROR(__xludf.DUMMYFUNCTION("""COMPUTED_VALUE"""),"Лексика ""Взаимоотношения с друзьями и в школе""")</f>
        <v>Лексика "Взаимоотношения с друзьями и в школе"</v>
      </c>
      <c r="F62" s="1">
        <f>IFERROR(__xludf.DUMMYFUNCTION("""COMPUTED_VALUE"""),261.0)</f>
        <v>261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IFERROR(__xludf.DUMMYFUNCTION("""COMPUTED_VALUE"""),"Отрицательное предложение с модальным глаголом")</f>
        <v>Отрицательное предложение с модальным глаголом</v>
      </c>
      <c r="B63" s="1">
        <f>IFERROR(__xludf.DUMMYFUNCTION("""COMPUTED_VALUE"""),62.0)</f>
        <v>62</v>
      </c>
      <c r="C63" s="1"/>
      <c r="D63" s="1"/>
      <c r="E63" s="1" t="str">
        <f>IFERROR(__xludf.DUMMYFUNCTION("""COMPUTED_VALUE"""),"Лексика ""Внешность и характеристики человека""")</f>
        <v>Лексика "Внешность и характеристики человека"</v>
      </c>
      <c r="F63" s="1">
        <f>IFERROR(__xludf.DUMMYFUNCTION("""COMPUTED_VALUE"""),262.0)</f>
        <v>262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IFERROR(__xludf.DUMMYFUNCTION("""COMPUTED_VALUE"""),"Утвердительное предложение с модальным глаголом")</f>
        <v>Утвердительное предложение с модальным глаголом</v>
      </c>
      <c r="B64" s="1">
        <f>IFERROR(__xludf.DUMMYFUNCTION("""COMPUTED_VALUE"""),63.0)</f>
        <v>63</v>
      </c>
      <c r="C64" s="1"/>
      <c r="D64" s="1"/>
      <c r="E64" s="1" t="str">
        <f>IFERROR(__xludf.DUMMYFUNCTION("""COMPUTED_VALUE"""),"Лексика ""Школа""")</f>
        <v>Лексика "Школа"</v>
      </c>
      <c r="F64" s="1">
        <f>IFERROR(__xludf.DUMMYFUNCTION("""COMPUTED_VALUE"""),263.0)</f>
        <v>263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IFERROR(__xludf.DUMMYFUNCTION("""COMPUTED_VALUE"""),"Конструкция Have something done")</f>
        <v>Конструкция Have something done</v>
      </c>
      <c r="B65" s="1">
        <f>IFERROR(__xludf.DUMMYFUNCTION("""COMPUTED_VALUE"""),64.0)</f>
        <v>64</v>
      </c>
      <c r="C65" s="1"/>
      <c r="D65" s="1"/>
      <c r="E65" s="1" t="str">
        <f>IFERROR(__xludf.DUMMYFUNCTION("""COMPUTED_VALUE"""),"Лексика ""ЗОЖ""")</f>
        <v>Лексика "ЗОЖ"</v>
      </c>
      <c r="F65" s="1">
        <f>IFERROR(__xludf.DUMMYFUNCTION("""COMPUTED_VALUE"""),264.0)</f>
        <v>264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IFERROR(__xludf.DUMMYFUNCTION("""COMPUTED_VALUE"""),"Глагол Would")</f>
        <v>Глагол Would</v>
      </c>
      <c r="B66" s="1">
        <f>IFERROR(__xludf.DUMMYFUNCTION("""COMPUTED_VALUE"""),65.0)</f>
        <v>65</v>
      </c>
      <c r="C66" s="1"/>
      <c r="D66" s="1"/>
      <c r="E66" s="1" t="str">
        <f>IFERROR(__xludf.DUMMYFUNCTION("""COMPUTED_VALUE"""),"Лексика ""Технический прогресс""")</f>
        <v>Лексика "Технический прогресс"</v>
      </c>
      <c r="F66" s="1">
        <f>IFERROR(__xludf.DUMMYFUNCTION("""COMPUTED_VALUE"""),265.0)</f>
        <v>265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IFERROR(__xludf.DUMMYFUNCTION("""COMPUTED_VALUE"""),"Конструкции had better… / would rather")</f>
        <v>Конструкции had better… / would rather</v>
      </c>
      <c r="B67" s="1">
        <f>IFERROR(__xludf.DUMMYFUNCTION("""COMPUTED_VALUE"""),66.0)</f>
        <v>66</v>
      </c>
      <c r="C67" s="1"/>
      <c r="D67" s="1"/>
      <c r="E67" s="1" t="str">
        <f>IFERROR(__xludf.DUMMYFUNCTION("""COMPUTED_VALUE"""),"Лексика ""Путешествия""")</f>
        <v>Лексика "Путешествия"</v>
      </c>
      <c r="F67" s="1">
        <f>IFERROR(__xludf.DUMMYFUNCTION("""COMPUTED_VALUE"""),266.0)</f>
        <v>266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IFERROR(__xludf.DUMMYFUNCTION("""COMPUTED_VALUE"""),"Конструкция Had better")</f>
        <v>Конструкция Had better</v>
      </c>
      <c r="B68" s="1">
        <f>IFERROR(__xludf.DUMMYFUNCTION("""COMPUTED_VALUE"""),67.0)</f>
        <v>67</v>
      </c>
      <c r="C68" s="1"/>
      <c r="D68" s="1"/>
      <c r="E68" s="1" t="str">
        <f>IFERROR(__xludf.DUMMYFUNCTION("""COMPUTED_VALUE"""),"Лексика ""Глобальные проблемы современности""")</f>
        <v>Лексика "Глобальные проблемы современности"</v>
      </c>
      <c r="F68" s="1">
        <f>IFERROR(__xludf.DUMMYFUNCTION("""COMPUTED_VALUE"""),267.0)</f>
        <v>267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IFERROR(__xludf.DUMMYFUNCTION("""COMPUTED_VALUE"""),"Конструкции would prefer и would rather")</f>
        <v>Конструкции would prefer и would rather</v>
      </c>
      <c r="B69" s="1">
        <f>IFERROR(__xludf.DUMMYFUNCTION("""COMPUTED_VALUE"""),68.0)</f>
        <v>68</v>
      </c>
      <c r="C69" s="1"/>
      <c r="D69" s="1"/>
      <c r="E69" s="1" t="str">
        <f>IFERROR(__xludf.DUMMYFUNCTION("""COMPUTED_VALUE"""),"Лексика ""Покупки. Карманные деньги""")</f>
        <v>Лексика "Покупки. Карманные деньги"</v>
      </c>
      <c r="F69" s="1">
        <f>IFERROR(__xludf.DUMMYFUNCTION("""COMPUTED_VALUE"""),268.0)</f>
        <v>268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IFERROR(__xludf.DUMMYFUNCTION("""COMPUTED_VALUE"""),"Согласование времен")</f>
        <v>Согласование времен</v>
      </c>
      <c r="B70" s="1">
        <f>IFERROR(__xludf.DUMMYFUNCTION("""COMPUTED_VALUE"""),69.0)</f>
        <v>69</v>
      </c>
      <c r="C70" s="1"/>
      <c r="D70" s="1"/>
      <c r="E70" s="1" t="str">
        <f>IFERROR(__xludf.DUMMYFUNCTION("""COMPUTED_VALUE"""),"Лексическая сочетаемость")</f>
        <v>Лексическая сочетаемость</v>
      </c>
      <c r="F70" s="1">
        <f>IFERROR(__xludf.DUMMYFUNCTION("""COMPUTED_VALUE"""),269.0)</f>
        <v>269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IFERROR(__xludf.DUMMYFUNCTION("""COMPUTED_VALUE"""),"Сложное дополнение")</f>
        <v>Сложное дополнение</v>
      </c>
      <c r="B71" s="1">
        <f>IFERROR(__xludf.DUMMYFUNCTION("""COMPUTED_VALUE"""),70.0)</f>
        <v>70</v>
      </c>
      <c r="C71" s="1"/>
      <c r="D71" s="1"/>
      <c r="E71" s="1" t="str">
        <f>IFERROR(__xludf.DUMMYFUNCTION("""COMPUTED_VALUE"""),"Устойчивые выражения")</f>
        <v>Устойчивые выражения</v>
      </c>
      <c r="F71" s="1">
        <f>IFERROR(__xludf.DUMMYFUNCTION("""COMPUTED_VALUE"""),270.0)</f>
        <v>270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IFERROR(__xludf.DUMMYFUNCTION("""COMPUTED_VALUE"""),"Сложное подлежащее")</f>
        <v>Сложное подлежащее</v>
      </c>
      <c r="B72" s="1">
        <f>IFERROR(__xludf.DUMMYFUNCTION("""COMPUTED_VALUE"""),71.0)</f>
        <v>71</v>
      </c>
      <c r="C72" s="1"/>
      <c r="D72" s="1"/>
      <c r="E72" s="1" t="str">
        <f>IFERROR(__xludf.DUMMYFUNCTION("""COMPUTED_VALUE"""),"{Умит удалён}")</f>
        <v>{Умит удалён}</v>
      </c>
      <c r="F72" s="1">
        <f>IFERROR(__xludf.DUMMYFUNCTION("""COMPUTED_VALUE"""),271.0)</f>
        <v>271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IFERROR(__xludf.DUMMYFUNCTION("""COMPUTED_VALUE"""),"Модальный глагол could")</f>
        <v>Модальный глагол could</v>
      </c>
      <c r="B73" s="1">
        <f>IFERROR(__xludf.DUMMYFUNCTION("""COMPUTED_VALUE"""),72.0)</f>
        <v>72</v>
      </c>
      <c r="C73" s="1"/>
      <c r="D73" s="1"/>
      <c r="E73" s="1" t="str">
        <f>IFERROR(__xludf.DUMMYFUNCTION("""COMPUTED_VALUE"""),"Словообразование существительных с помощью префиксов")</f>
        <v>Словообразование существительных с помощью префиксов</v>
      </c>
      <c r="F73" s="1">
        <f>IFERROR(__xludf.DUMMYFUNCTION("""COMPUTED_VALUE"""),272.0)</f>
        <v>272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IFERROR(__xludf.DUMMYFUNCTION("""COMPUTED_VALUE"""),"Tag questions")</f>
        <v>Tag questions</v>
      </c>
      <c r="B74" s="1">
        <f>IFERROR(__xludf.DUMMYFUNCTION("""COMPUTED_VALUE"""),73.0)</f>
        <v>73</v>
      </c>
      <c r="C74" s="1"/>
      <c r="D74" s="1"/>
      <c r="E74" s="1" t="str">
        <f>IFERROR(__xludf.DUMMYFUNCTION("""COMPUTED_VALUE"""),"Словообразование существительных с помощью суффиксов")</f>
        <v>Словообразование существительных с помощью суффиксов</v>
      </c>
      <c r="F74" s="1">
        <f>IFERROR(__xludf.DUMMYFUNCTION("""COMPUTED_VALUE"""),273.0)</f>
        <v>273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IFERROR(__xludf.DUMMYFUNCTION("""COMPUTED_VALUE"""),"Предложение с начальным it")</f>
        <v>Предложение с начальным it</v>
      </c>
      <c r="B75" s="1">
        <f>IFERROR(__xludf.DUMMYFUNCTION("""COMPUTED_VALUE"""),74.0)</f>
        <v>74</v>
      </c>
      <c r="C75" s="1"/>
      <c r="D75" s="1"/>
      <c r="E75" s="1" t="str">
        <f>IFERROR(__xludf.DUMMYFUNCTION("""COMPUTED_VALUE"""),"Словообразование прилагательных с помощью префиксов")</f>
        <v>Словообразование прилагательных с помощью префиксов</v>
      </c>
      <c r="F75" s="1">
        <f>IFERROR(__xludf.DUMMYFUNCTION("""COMPUTED_VALUE"""),274.0)</f>
        <v>274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IFERROR(__xludf.DUMMYFUNCTION("""COMPUTED_VALUE"""),"Устойчивые сочетания прилагательных с предлогами")</f>
        <v>Устойчивые сочетания прилагательных с предлогами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IFERROR(__xludf.DUMMYFUNCTION("""COMPUTED_VALUE"""),"Словообразование прилагательных с помощью суффиксов")</f>
        <v>Словообразование прилагательных с помощью суффиксов</v>
      </c>
      <c r="F76" s="1">
        <f>IFERROR(__xludf.DUMMYFUNCTION("""COMPUTED_VALUE"""),275.0)</f>
        <v>275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IFERROR(__xludf.DUMMYFUNCTION("""COMPUTED_VALUE"""),"Простые предложения")</f>
        <v>Простые предложения</v>
      </c>
      <c r="B77" s="1">
        <f>IFERROR(__xludf.DUMMYFUNCTION("""COMPUTED_VALUE"""),76.0)</f>
        <v>76</v>
      </c>
      <c r="C77" s="1"/>
      <c r="D77" s="1"/>
      <c r="E77" s="1" t="str">
        <f>IFERROR(__xludf.DUMMYFUNCTION("""COMPUTED_VALUE"""),"Словообразование глаголов с помощью префиксов")</f>
        <v>Словообразование глаголов с помощью префиксов</v>
      </c>
      <c r="F77" s="1">
        <f>IFERROR(__xludf.DUMMYFUNCTION("""COMPUTED_VALUE"""),276.0)</f>
        <v>276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IFERROR(__xludf.DUMMYFUNCTION("""COMPUTED_VALUE"""),"Герундий в предложении")</f>
        <v>Герундий в предложении</v>
      </c>
      <c r="B78" s="1">
        <f>IFERROR(__xludf.DUMMYFUNCTION("""COMPUTED_VALUE"""),77.0)</f>
        <v>77</v>
      </c>
      <c r="C78" s="1"/>
      <c r="D78" s="1"/>
      <c r="E78" s="1" t="str">
        <f>IFERROR(__xludf.DUMMYFUNCTION("""COMPUTED_VALUE"""),"Словообразование глаголов с помощью суффиксов")</f>
        <v>Словообразование глаголов с помощью суффиксов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IFERROR(__xludf.DUMMYFUNCTION("""COMPUTED_VALUE"""),"Инфинитив в предложении")</f>
        <v>Инфинитив в предложении</v>
      </c>
      <c r="B79" s="1">
        <f>IFERROR(__xludf.DUMMYFUNCTION("""COMPUTED_VALUE"""),78.0)</f>
        <v>78</v>
      </c>
      <c r="C79" s="1"/>
      <c r="D79" s="1"/>
      <c r="E79" s="1" t="str">
        <f>IFERROR(__xludf.DUMMYFUNCTION("""COMPUTED_VALUE"""),"Словообразование наречий с помощью префиксов")</f>
        <v>Словообразование наречий с помощью префиксов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IFERROR(__xludf.DUMMYFUNCTION("""COMPUTED_VALUE"""),"Конструкция ""it+to be""")</f>
        <v>Конструкция "it+to be"</v>
      </c>
      <c r="B80" s="1">
        <f>IFERROR(__xludf.DUMMYFUNCTION("""COMPUTED_VALUE"""),79.0)</f>
        <v>79</v>
      </c>
      <c r="C80" s="1"/>
      <c r="D80" s="1"/>
      <c r="E80" s="1" t="str">
        <f>IFERROR(__xludf.DUMMYFUNCTION("""COMPUTED_VALUE"""),"Словообразование наречий с помощью суффиксов")</f>
        <v>Словообразование наречий с помощью суффиксов</v>
      </c>
      <c r="F80" s="1">
        <f>IFERROR(__xludf.DUMMYFUNCTION("""COMPUTED_VALUE"""),279.0)</f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IFERROR(__xludf.DUMMYFUNCTION("""COMPUTED_VALUE"""),"Конструкция ""it takes""")</f>
        <v>Конструкция "it takes"</v>
      </c>
      <c r="B81" s="1">
        <f>IFERROR(__xludf.DUMMYFUNCTION("""COMPUTED_VALUE"""),80.0)</f>
        <v>80</v>
      </c>
      <c r="C81" s="1"/>
      <c r="D81" s="1"/>
      <c r="E81" s="1" t="str">
        <f>IFERROR(__xludf.DUMMYFUNCTION("""COMPUTED_VALUE"""),"Словообразование числительных с помощью суффиксов")</f>
        <v>Словообразование числительных с помощью суффиксов</v>
      </c>
      <c r="F81" s="1">
        <f>IFERROR(__xludf.DUMMYFUNCTION("""COMPUTED_VALUE"""),280.0)</f>
        <v>280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IFERROR(__xludf.DUMMYFUNCTION("""COMPUTED_VALUE"""),"Образование сравнительно степени прилагательного с помощью much")</f>
        <v>Образование сравнительно степени прилагательного с помощью much</v>
      </c>
      <c r="B82" s="1">
        <f>IFERROR(__xludf.DUMMYFUNCTION("""COMPUTED_VALUE"""),81.0)</f>
        <v>81</v>
      </c>
      <c r="C82" s="1"/>
      <c r="D82" s="1"/>
      <c r="E82" s="1" t="str">
        <f>IFERROR(__xludf.DUMMYFUNCTION("""COMPUTED_VALUE"""),"Употребление say/tell/speak")</f>
        <v>Употребление say/tell/speak</v>
      </c>
      <c r="F82" s="1">
        <f>IFERROR(__xludf.DUMMYFUNCTION("""COMPUTED_VALUE"""),281.0)</f>
        <v>281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IFERROR(__xludf.DUMMYFUNCTION("""COMPUTED_VALUE"""),"Образование сравнительной степени прилагательного с усилением с помощью much more")</f>
        <v>Образование сравнительной степени прилагательного с усилением с помощью much more</v>
      </c>
      <c r="B83" s="1">
        <f>IFERROR(__xludf.DUMMYFUNCTION("""COMPUTED_VALUE"""),82.0)</f>
        <v>82</v>
      </c>
      <c r="C83" s="1"/>
      <c r="D83" s="1"/>
      <c r="E83" s="1" t="str">
        <f>IFERROR(__xludf.DUMMYFUNCTION("""COMPUTED_VALUE"""),"Устойчивые сочетания глаголов с предлогами")</f>
        <v>Устойчивые сочетания глаголов с предлогами</v>
      </c>
      <c r="F83" s="1">
        <f>IFERROR(__xludf.DUMMYFUNCTION("""COMPUTED_VALUE"""),282.0)</f>
        <v>282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IFERROR(__xludf.DUMMYFUNCTION("""COMPUTED_VALUE"""),"Образование сравнительной степени прилагательного с усилением с помощью far more")</f>
        <v>Образование сравнительной степени прилагательного с усилением с помощью far more</v>
      </c>
      <c r="B84" s="1">
        <f>IFERROR(__xludf.DUMMYFUNCTION("""COMPUTED_VALUE"""),83.0)</f>
        <v>83</v>
      </c>
      <c r="C84" s="1"/>
      <c r="D84" s="1"/>
      <c r="E84" s="1" t="str">
        <f>IFERROR(__xludf.DUMMYFUNCTION("""COMPUTED_VALUE"""),"Relationships and people, Materials and the built environment")</f>
        <v>Relationships and people, Materials and the built environment</v>
      </c>
      <c r="F84" s="1">
        <f>IFERROR(__xludf.DUMMYFUNCTION("""COMPUTED_VALUE"""),283.0)</f>
        <v>283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IFERROR(__xludf.DUMMYFUNCTION("""COMPUTED_VALUE"""),"Причастие Participle 2")</f>
        <v>Причастие Participle 2</v>
      </c>
      <c r="B85" s="1">
        <f>IFERROR(__xludf.DUMMYFUNCTION("""COMPUTED_VALUE"""),84.0)</f>
        <v>84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IFERROR(__xludf.DUMMYFUNCTION("""COMPUTED_VALUE"""),"Образование степеней сравнения наречий, совпадающих по форме с прилагательными")</f>
        <v>Образование степеней сравнения наречий, совпадающих по форме с прилагательными</v>
      </c>
      <c r="B86" s="1">
        <f>IFERROR(__xludf.DUMMYFUNCTION("""COMPUTED_VALUE"""),85.0)</f>
        <v>85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IFERROR(__xludf.DUMMYFUNCTION("""COMPUTED_VALUE"""),"Образование степеней сравнения наречий, образованных от прилагательных с помощью -ly")</f>
        <v>Образование степеней сравнения наречий, образованных от прилагательных с помощью -ly</v>
      </c>
      <c r="B87" s="1">
        <f>IFERROR(__xludf.DUMMYFUNCTION("""COMPUTED_VALUE"""),86.0)</f>
        <v>86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IFERROR(__xludf.DUMMYFUNCTION("""COMPUTED_VALUE"""),"Образование степеней сравнения многосложных наречий")</f>
        <v>Образование степеней сравнения многосложных наречий</v>
      </c>
      <c r="B88" s="1">
        <f>IFERROR(__xludf.DUMMYFUNCTION("""COMPUTED_VALUE"""),87.0)</f>
        <v>87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IFERROR(__xludf.DUMMYFUNCTION("""COMPUTED_VALUE"""),"Образование степеней сравнения наречия: исключения")</f>
        <v>Образование степеней сравнения наречия: исключения</v>
      </c>
      <c r="B89" s="1">
        <f>IFERROR(__xludf.DUMMYFUNCTION("""COMPUTED_VALUE"""),88.0)</f>
        <v>88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IFERROR(__xludf.DUMMYFUNCTION("""COMPUTED_VALUE"""),"Предложения с конструкциями either ... or; neither ... nor")</f>
        <v>Предложения с конструкциями either ... or; neither ... nor</v>
      </c>
      <c r="B90" s="1">
        <f>IFERROR(__xludf.DUMMYFUNCTION("""COMPUTED_VALUE"""),89.0)</f>
        <v>89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IFERROR(__xludf.DUMMYFUNCTION("""COMPUTED_VALUE"""),"Конструкция be able to")</f>
        <v>Конструкция be able to</v>
      </c>
      <c r="B91" s="1">
        <f>IFERROR(__xludf.DUMMYFUNCTION("""COMPUTED_VALUE"""),126.0)</f>
        <v>126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IFERROR(__xludf.DUMMYFUNCTION("""COMPUTED_VALUE"""),"Образование сравнительной степени наречий")</f>
        <v>Образование сравнительной степени наречий</v>
      </c>
      <c r="B92" s="1">
        <f>IFERROR(__xludf.DUMMYFUNCTION("""COMPUTED_VALUE"""),90.0)</f>
        <v>90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IFERROR(__xludf.DUMMYFUNCTION("""COMPUTED_VALUE"""),"Образование превосходной степени наречий")</f>
        <v>Образование превосходной степени наречий</v>
      </c>
      <c r="B93" s="1">
        <f>IFERROR(__xludf.DUMMYFUNCTION("""COMPUTED_VALUE"""),91.0)</f>
        <v>91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IFERROR(__xludf.DUMMYFUNCTION("""COMPUTED_VALUE"""),"Исключения в сравнении наречий")</f>
        <v>Исключения в сравнении наречий</v>
      </c>
      <c r="B94" s="1">
        <f>IFERROR(__xludf.DUMMYFUNCTION("""COMPUTED_VALUE"""),92.0)</f>
        <v>92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IFERROR(__xludf.DUMMYFUNCTION("""COMPUTED_VALUE"""),"Употребление артикля a/an перед гласными/согласными")</f>
        <v>Употребление артикля a/an перед гласными/согласными</v>
      </c>
      <c r="B95" s="1">
        <f>IFERROR(__xludf.DUMMYFUNCTION("""COMPUTED_VALUE"""),93.0)</f>
        <v>93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IFERROR(__xludf.DUMMYFUNCTION("""COMPUTED_VALUE"""),"For-to construction, Causative form")</f>
        <v>For-to construction, Causative form</v>
      </c>
      <c r="B96" s="1">
        <f>IFERROR(__xludf.DUMMYFUNCTION("""COMPUTED_VALUE"""),94.0)</f>
        <v>94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