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IFERROR(__xludf.DUMMYFUNCTION("IMPORTRANGE(""https://docs.google.com/spreadsheets/d/13TEKQLew6a4snWHLJnY6kEJlLowKLqbaQsWiScwU3v4/edit"",""УМИТЫ!A:Z"")"),"Древность-Древнерусское государство")</f>
        <v>Древность-Древнерусское государство</v>
      </c>
      <c r="B1" s="1"/>
      <c r="C1" s="1" t="str">
        <f>IFERROR(__xludf.DUMMYFUNCTION("""COMPUTED_VALUE"""),"Раздробленность, монголы, возвышение Москвы")</f>
        <v>Раздробленность, монголы, возвышение Москвы</v>
      </c>
      <c r="D1" s="1"/>
      <c r="E1" s="1" t="str">
        <f>IFERROR(__xludf.DUMMYFUNCTION("""COMPUTED_VALUE"""),"Иван Грозный - Смута")</f>
        <v>Иван Грозный - Смута</v>
      </c>
      <c r="F1" s="1"/>
      <c r="G1" s="1" t="str">
        <f>IFERROR(__xludf.DUMMYFUNCTION("""COMPUTED_VALUE"""),"Бунташный век - Дворцовые перевороты")</f>
        <v>Бунташный век - Дворцовые перевороты</v>
      </c>
      <c r="H1" s="1"/>
      <c r="I1" s="1" t="str">
        <f>IFERROR(__xludf.DUMMYFUNCTION("""COMPUTED_VALUE"""),"Екатерина Вторая - Николай Первый (1762-1855)")</f>
        <v>Екатерина Вторая - Николай Первый (1762-1855)</v>
      </c>
      <c r="J1" s="1"/>
      <c r="K1" s="1" t="str">
        <f>IFERROR(__xludf.DUMMYFUNCTION("""COMPUTED_VALUE"""),"Александр Второй - Николай Второй (1855-1917)")</f>
        <v>Александр Второй - Николай Второй (1855-1917)</v>
      </c>
      <c r="L1" s="1"/>
      <c r="M1" s="1" t="str">
        <f>IFERROR(__xludf.DUMMYFUNCTION("""COMPUTED_VALUE"""),"Становление советской Власти и Сталин (1917-1953)")</f>
        <v>Становление советской Власти и Сталин (1917-1953)</v>
      </c>
      <c r="N1" s="1"/>
      <c r="O1" s="1" t="str">
        <f>IFERROR(__xludf.DUMMYFUNCTION("""COMPUTED_VALUE"""),"Хрущев - Горбачев (1953-1991)")</f>
        <v>Хрущев - Горбачев (1953-1991)</v>
      </c>
      <c r="P1" s="1"/>
      <c r="Q1" s="1" t="str">
        <f>IFERROR(__xludf.DUMMYFUNCTION("""COMPUTED_VALUE"""),"Новая Россия")</f>
        <v>Новая Россия</v>
      </c>
      <c r="R1" s="1"/>
      <c r="S1" s="1" t="str">
        <f>IFERROR(__xludf.DUMMYFUNCTION("""COMPUTED_VALUE"""),"Всемирная История")</f>
        <v>Всемирная История</v>
      </c>
      <c r="T1" s="1"/>
      <c r="U1" s="1" t="str">
        <f>IFERROR(__xludf.DUMMYFUNCTION("""COMPUTED_VALUE"""),"Навыки и умения")</f>
        <v>Навыки и умения</v>
      </c>
      <c r="V1" s="1"/>
      <c r="W1" s="1"/>
      <c r="X1" s="1"/>
      <c r="Y1" s="1"/>
      <c r="Z1" s="1"/>
    </row>
    <row r="2">
      <c r="A2" s="1" t="str">
        <f>IFERROR(__xludf.DUMMYFUNCTION("""COMPUTED_VALUE"""),"Основные виды деятельности, экономика и земледелие")</f>
        <v>Основные виды деятельности, экономика и земледелие</v>
      </c>
      <c r="B2" s="1">
        <f>IFERROR(__xludf.DUMMYFUNCTION("""COMPUTED_VALUE"""),1.0)</f>
        <v>1</v>
      </c>
      <c r="C2" s="1" t="str">
        <f>IFERROR(__xludf.DUMMYFUNCTION("""COMPUTED_VALUE"""),"Причины раздробленности")</f>
        <v>Причины раздробленности</v>
      </c>
      <c r="D2" s="1">
        <f>IFERROR(__xludf.DUMMYFUNCTION("""COMPUTED_VALUE"""),101.0)</f>
        <v>101</v>
      </c>
      <c r="E2" s="1" t="str">
        <f>IFERROR(__xludf.DUMMYFUNCTION("""COMPUTED_VALUE"""),"Правление Елены Глинской. Мир с Литвой ")</f>
        <v>Правление Елены Глинской. Мир с Литвой </v>
      </c>
      <c r="F2" s="1">
        <f>IFERROR(__xludf.DUMMYFUNCTION("""COMPUTED_VALUE"""),201.0)</f>
        <v>201</v>
      </c>
      <c r="G2" s="1" t="str">
        <f>IFERROR(__xludf.DUMMYFUNCTION("""COMPUTED_VALUE"""),"Причины избрания Михаила Романова")</f>
        <v>Причины избрания Михаила Романова</v>
      </c>
      <c r="H2" s="1">
        <f>IFERROR(__xludf.DUMMYFUNCTION("""COMPUTED_VALUE"""),301.0)</f>
        <v>301</v>
      </c>
      <c r="I2" s="1" t="str">
        <f>IFERROR(__xludf.DUMMYFUNCTION("""COMPUTED_VALUE"""),"Личность Екатерины Второй")</f>
        <v>Личность Екатерины Второй</v>
      </c>
      <c r="J2" s="1">
        <f>IFERROR(__xludf.DUMMYFUNCTION("""COMPUTED_VALUE"""),401.0)</f>
        <v>401</v>
      </c>
      <c r="K2" s="1" t="str">
        <f>IFERROR(__xludf.DUMMYFUNCTION("""COMPUTED_VALUE"""),"Первые действия Александра II")</f>
        <v>Первые действия Александра II</v>
      </c>
      <c r="L2" s="1">
        <f>IFERROR(__xludf.DUMMYFUNCTION("""COMPUTED_VALUE"""),501.0)</f>
        <v>501</v>
      </c>
      <c r="M2" s="1" t="str">
        <f>IFERROR(__xludf.DUMMYFUNCTION("""COMPUTED_VALUE"""),"II Всероссийский съезд Советов. Первые декреты Советской власти")</f>
        <v>II Всероссийский съезд Советов. Первые декреты Советской власти</v>
      </c>
      <c r="N2" s="1">
        <f>IFERROR(__xludf.DUMMYFUNCTION("""COMPUTED_VALUE"""),601.0)</f>
        <v>601</v>
      </c>
      <c r="O2" s="1" t="str">
        <f>IFERROR(__xludf.DUMMYFUNCTION("""COMPUTED_VALUE"""),"Смерть Сталина и борьба за власть после нее")</f>
        <v>Смерть Сталина и борьба за власть после нее</v>
      </c>
      <c r="P2" s="1">
        <f>IFERROR(__xludf.DUMMYFUNCTION("""COMPUTED_VALUE"""),701.0)</f>
        <v>701</v>
      </c>
      <c r="Q2" s="1" t="str">
        <f>IFERROR(__xludf.DUMMYFUNCTION("""COMPUTED_VALUE"""),"Личность и становление Ельцина")</f>
        <v>Личность и становление Ельцина</v>
      </c>
      <c r="R2" s="1">
        <f>IFERROR(__xludf.DUMMYFUNCTION("""COMPUTED_VALUE"""),801.0)</f>
        <v>801</v>
      </c>
      <c r="S2" s="1" t="str">
        <f>IFERROR(__xludf.DUMMYFUNCTION("""COMPUTED_VALUE"""),"Всемирная История до Рюрика")</f>
        <v>Всемирная История до Рюрика</v>
      </c>
      <c r="T2" s="1">
        <f>IFERROR(__xludf.DUMMYFUNCTION("""COMPUTED_VALUE"""),901.0)</f>
        <v>901</v>
      </c>
      <c r="U2" s="1" t="str">
        <f>IFERROR(__xludf.DUMMYFUNCTION("""COMPUTED_VALUE"""),"Знание основных фактов, процессов и явлений, характеризующих целостность истории")</f>
        <v>Знание основных фактов, процессов и явлений, характеризующих целостность истории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IFERROR(__xludf.DUMMYFUNCTION("""COMPUTED_VALUE"""),"Славяне")</f>
        <v>Славяне</v>
      </c>
      <c r="B3" s="1">
        <f>IFERROR(__xludf.DUMMYFUNCTION("""COMPUTED_VALUE"""),2.0)</f>
        <v>2</v>
      </c>
      <c r="C3" s="1" t="str">
        <f>IFERROR(__xludf.DUMMYFUNCTION("""COMPUTED_VALUE"""),"Плюсы и минусы раздробленности")</f>
        <v>Плюсы и минусы раздробленности</v>
      </c>
      <c r="D3" s="1">
        <f>IFERROR(__xludf.DUMMYFUNCTION("""COMPUTED_VALUE"""),102.0)</f>
        <v>102</v>
      </c>
      <c r="E3" s="1" t="str">
        <f>IFERROR(__xludf.DUMMYFUNCTION("""COMPUTED_VALUE"""),"Денежная реформа Глинской")</f>
        <v>Денежная реформа Глинской</v>
      </c>
      <c r="F3" s="1">
        <f>IFERROR(__xludf.DUMMYFUNCTION("""COMPUTED_VALUE"""),202.0)</f>
        <v>202</v>
      </c>
      <c r="G3" s="1" t="str">
        <f>IFERROR(__xludf.DUMMYFUNCTION("""COMPUTED_VALUE"""),"Внутренняя политика Михаила Федоровича ")</f>
        <v>Внутренняя политика Михаила Федоровича </v>
      </c>
      <c r="H3" s="1">
        <f>IFERROR(__xludf.DUMMYFUNCTION("""COMPUTED_VALUE"""),302.0)</f>
        <v>302</v>
      </c>
      <c r="I3" s="1" t="str">
        <f>IFERROR(__xludf.DUMMYFUNCTION("""COMPUTED_VALUE"""),"Экономика при Екатерине II")</f>
        <v>Экономика при Екатерине II</v>
      </c>
      <c r="J3" s="1">
        <f>IFERROR(__xludf.DUMMYFUNCTION("""COMPUTED_VALUE"""),402.0)</f>
        <v>402</v>
      </c>
      <c r="K3" s="1" t="str">
        <f>IFERROR(__xludf.DUMMYFUNCTION("""COMPUTED_VALUE"""),"Великие реформы")</f>
        <v>Великие реформы</v>
      </c>
      <c r="L3" s="1">
        <f>IFERROR(__xludf.DUMMYFUNCTION("""COMPUTED_VALUE"""),502.0)</f>
        <v>502</v>
      </c>
      <c r="M3" s="1" t="str">
        <f>IFERROR(__xludf.DUMMYFUNCTION("""COMPUTED_VALUE"""),"Экономика при Ленине")</f>
        <v>Экономика при Ленине</v>
      </c>
      <c r="N3" s="1">
        <f>IFERROR(__xludf.DUMMYFUNCTION("""COMPUTED_VALUE"""),602.0)</f>
        <v>602</v>
      </c>
      <c r="O3" s="1" t="str">
        <f>IFERROR(__xludf.DUMMYFUNCTION("""COMPUTED_VALUE"""),"Оттепель")</f>
        <v>Оттепель</v>
      </c>
      <c r="P3" s="1">
        <f>IFERROR(__xludf.DUMMYFUNCTION("""COMPUTED_VALUE"""),702.0)</f>
        <v>702</v>
      </c>
      <c r="Q3" s="1" t="str">
        <f>IFERROR(__xludf.DUMMYFUNCTION("""COMPUTED_VALUE"""),"Экономика в 1990-е")</f>
        <v>Экономика в 1990-е</v>
      </c>
      <c r="R3" s="1">
        <f>IFERROR(__xludf.DUMMYFUNCTION("""COMPUTED_VALUE"""),802.0)</f>
        <v>802</v>
      </c>
      <c r="S3" s="1" t="str">
        <f>IFERROR(__xludf.DUMMYFUNCTION("""COMPUTED_VALUE"""),"Всемирная история Средних веков")</f>
        <v>Всемирная история Средних веков</v>
      </c>
      <c r="T3" s="1">
        <f>IFERROR(__xludf.DUMMYFUNCTION("""COMPUTED_VALUE"""),902.0)</f>
        <v>902</v>
      </c>
      <c r="U3" s="1" t="str">
        <f>IFERROR(__xludf.DUMMYFUNCTION("""COMPUTED_VALUE"""),"Умение проводить поиск исторической информации в письменных исторических источниках")</f>
        <v>Умение проводить поиск исторической информации в письменных исторических источниках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IFERROR(__xludf.DUMMYFUNCTION("""COMPUTED_VALUE"""),"Другие народы на территории страны")</f>
        <v>Другие народы на территории страны</v>
      </c>
      <c r="B4" s="1">
        <f>IFERROR(__xludf.DUMMYFUNCTION("""COMPUTED_VALUE"""),3.0)</f>
        <v>3</v>
      </c>
      <c r="C4" s="1" t="str">
        <f>IFERROR(__xludf.DUMMYFUNCTION("""COMPUTED_VALUE"""),"Галицко-Волынское княжество")</f>
        <v>Галицко-Волынское княжество</v>
      </c>
      <c r="D4" s="1">
        <f>IFERROR(__xludf.DUMMYFUNCTION("""COMPUTED_VALUE"""),103.0)</f>
        <v>103</v>
      </c>
      <c r="E4" s="1" t="str">
        <f>IFERROR(__xludf.DUMMYFUNCTION("""COMPUTED_VALUE"""),"1538-1547 гг. «боярское правление». Бельские, Глинские, Шуйские")</f>
        <v>1538-1547 гг. «боярское правление». Бельские, Глинские, Шуйские</v>
      </c>
      <c r="F4" s="1">
        <f>IFERROR(__xludf.DUMMYFUNCTION("""COMPUTED_VALUE"""),203.0)</f>
        <v>203</v>
      </c>
      <c r="G4" s="1" t="str">
        <f>IFERROR(__xludf.DUMMYFUNCTION("""COMPUTED_VALUE"""),"Внешняя политика Михаила Федоровича ")</f>
        <v>Внешняя политика Михаила Федоровича </v>
      </c>
      <c r="H4" s="1">
        <f>IFERROR(__xludf.DUMMYFUNCTION("""COMPUTED_VALUE"""),303.0)</f>
        <v>303</v>
      </c>
      <c r="I4" s="1" t="str">
        <f>IFERROR(__xludf.DUMMYFUNCTION("""COMPUTED_VALUE"""),"Реформы Екатерины II")</f>
        <v>Реформы Екатерины II</v>
      </c>
      <c r="J4" s="1">
        <f>IFERROR(__xludf.DUMMYFUNCTION("""COMPUTED_VALUE"""),403.0)</f>
        <v>403</v>
      </c>
      <c r="K4" s="1" t="str">
        <f>IFERROR(__xludf.DUMMYFUNCTION("""COMPUTED_VALUE"""),"Национальная политика Александра II")</f>
        <v>Национальная политика Александра II</v>
      </c>
      <c r="L4" s="1">
        <f>IFERROR(__xludf.DUMMYFUNCTION("""COMPUTED_VALUE"""),503.0)</f>
        <v>503</v>
      </c>
      <c r="M4" s="1" t="str">
        <f>IFERROR(__xludf.DUMMYFUNCTION("""COMPUTED_VALUE"""),"Социальная политика большевиков")</f>
        <v>Социальная политика большевиков</v>
      </c>
      <c r="N4" s="1">
        <f>IFERROR(__xludf.DUMMYFUNCTION("""COMPUTED_VALUE"""),603.0)</f>
        <v>603</v>
      </c>
      <c r="O4" s="1" t="str">
        <f>IFERROR(__xludf.DUMMYFUNCTION("""COMPUTED_VALUE"""),"Десталинизация")</f>
        <v>Десталинизация</v>
      </c>
      <c r="P4" s="1">
        <f>IFERROR(__xludf.DUMMYFUNCTION("""COMPUTED_VALUE"""),703.0)</f>
        <v>703</v>
      </c>
      <c r="Q4" s="1" t="str">
        <f>IFERROR(__xludf.DUMMYFUNCTION("""COMPUTED_VALUE"""),"Причины радикальных экономических реформ")</f>
        <v>Причины радикальных экономических реформ</v>
      </c>
      <c r="R4" s="1">
        <f>IFERROR(__xludf.DUMMYFUNCTION("""COMPUTED_VALUE"""),803.0)</f>
        <v>803</v>
      </c>
      <c r="S4" s="1" t="str">
        <f>IFERROR(__xludf.DUMMYFUNCTION("""COMPUTED_VALUE"""),"Западное христианство")</f>
        <v>Западное христианство</v>
      </c>
      <c r="T4" s="1">
        <f>IFERROR(__xludf.DUMMYFUNCTION("""COMPUTED_VALUE"""),903.0)</f>
        <v>903</v>
      </c>
      <c r="U4" s="1" t="str">
        <f>IFERROR(__xludf.DUMMYFUNCTION("""COMPUTED_VALUE"""),"Умение осуществлять внешнюю и внутреннюю критику источника")</f>
        <v>Умение осуществлять внешнюю и внутреннюю критику источника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IFERROR(__xludf.DUMMYFUNCTION("""COMPUTED_VALUE"""),"Первое протогосударственное образование славян")</f>
        <v>Первое протогосударственное образование славян</v>
      </c>
      <c r="B5" s="1">
        <f>IFERROR(__xludf.DUMMYFUNCTION("""COMPUTED_VALUE"""),4.0)</f>
        <v>4</v>
      </c>
      <c r="C5" s="1" t="str">
        <f>IFERROR(__xludf.DUMMYFUNCTION("""COMPUTED_VALUE"""),"Новгородская боярская республика")</f>
        <v>Новгородская боярская республика</v>
      </c>
      <c r="D5" s="1">
        <f>IFERROR(__xludf.DUMMYFUNCTION("""COMPUTED_VALUE"""),104.0)</f>
        <v>104</v>
      </c>
      <c r="E5" s="1" t="str">
        <f>IFERROR(__xludf.DUMMYFUNCTION("""COMPUTED_VALUE"""),"Венчание на царство Ивана IV")</f>
        <v>Венчание на царство Ивана IV</v>
      </c>
      <c r="F5" s="1">
        <f>IFERROR(__xludf.DUMMYFUNCTION("""COMPUTED_VALUE"""),204.0)</f>
        <v>204</v>
      </c>
      <c r="G5" s="1" t="str">
        <f>IFERROR(__xludf.DUMMYFUNCTION("""COMPUTED_VALUE"""),"Бунты при Алексее Михайловиче")</f>
        <v>Бунты при Алексее Михайловиче</v>
      </c>
      <c r="H5" s="1">
        <f>IFERROR(__xludf.DUMMYFUNCTION("""COMPUTED_VALUE"""),304.0)</f>
        <v>304</v>
      </c>
      <c r="I5" s="1" t="str">
        <f>IFERROR(__xludf.DUMMYFUNCTION("""COMPUTED_VALUE"""),"Просвещенный абсолютизм")</f>
        <v>Просвещенный абсолютизм</v>
      </c>
      <c r="J5" s="1">
        <f>IFERROR(__xludf.DUMMYFUNCTION("""COMPUTED_VALUE"""),404.0)</f>
        <v>404</v>
      </c>
      <c r="K5" s="1" t="str">
        <f>IFERROR(__xludf.DUMMYFUNCTION("""COMPUTED_VALUE"""),"Кризисы Александра II")</f>
        <v>Кризисы Александра II</v>
      </c>
      <c r="L5" s="1">
        <f>IFERROR(__xludf.DUMMYFUNCTION("""COMPUTED_VALUE"""),504.0)</f>
        <v>504</v>
      </c>
      <c r="M5" s="1" t="str">
        <f>IFERROR(__xludf.DUMMYFUNCTION("""COMPUTED_VALUE"""),"Учредительное Собрание")</f>
        <v>Учредительное Собрание</v>
      </c>
      <c r="N5" s="1">
        <f>IFERROR(__xludf.DUMMYFUNCTION("""COMPUTED_VALUE"""),604.0)</f>
        <v>604</v>
      </c>
      <c r="O5" s="1" t="str">
        <f>IFERROR(__xludf.DUMMYFUNCTION("""COMPUTED_VALUE"""),"Цензура Хрущева")</f>
        <v>Цензура Хрущева</v>
      </c>
      <c r="P5" s="1">
        <f>IFERROR(__xludf.DUMMYFUNCTION("""COMPUTED_VALUE"""),704.0)</f>
        <v>704</v>
      </c>
      <c r="Q5" s="1" t="str">
        <f>IFERROR(__xludf.DUMMYFUNCTION("""COMPUTED_VALUE"""),"Приватизация")</f>
        <v>Приватизация</v>
      </c>
      <c r="R5" s="1">
        <f>IFERROR(__xludf.DUMMYFUNCTION("""COMPUTED_VALUE"""),804.0)</f>
        <v>804</v>
      </c>
      <c r="S5" s="1" t="str">
        <f>IFERROR(__xludf.DUMMYFUNCTION("""COMPUTED_VALUE"""),"Возникновение и развитие ислама")</f>
        <v>Возникновение и развитие ислама</v>
      </c>
      <c r="T5" s="1">
        <f>IFERROR(__xludf.DUMMYFUNCTION("""COMPUTED_VALUE"""),904.0)</f>
        <v>904</v>
      </c>
      <c r="U5" s="1" t="str">
        <f>IFERROR(__xludf.DUMMYFUNCTION("""COMPUTED_VALUE"""),"Умение анализировать историческую информацию, представленную в разных знаковых системах (работа с картой, таблицей, схемой)")</f>
        <v>Умение анализировать историческую информацию, представленную в разных знаковых системах (работа с картой, таблицей, схемой)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IFERROR(__xludf.DUMMYFUNCTION("""COMPUTED_VALUE"""),"Племенные союзы восточных славян и их расселение")</f>
        <v>Племенные союзы восточных славян и их расселение</v>
      </c>
      <c r="B6" s="1">
        <f>IFERROR(__xludf.DUMMYFUNCTION("""COMPUTED_VALUE"""),5.0)</f>
        <v>5</v>
      </c>
      <c r="C6" s="1" t="str">
        <f>IFERROR(__xludf.DUMMYFUNCTION("""COMPUTED_VALUE"""),"Киевское княжество")</f>
        <v>Киевское княжество</v>
      </c>
      <c r="D6" s="1">
        <f>IFERROR(__xludf.DUMMYFUNCTION("""COMPUTED_VALUE"""),105.0)</f>
        <v>105</v>
      </c>
      <c r="E6" s="1" t="str">
        <f>IFERROR(__xludf.DUMMYFUNCTION("""COMPUTED_VALUE"""),"Избранная рада")</f>
        <v>Избранная рада</v>
      </c>
      <c r="F6" s="1">
        <f>IFERROR(__xludf.DUMMYFUNCTION("""COMPUTED_VALUE"""),205.0)</f>
        <v>205</v>
      </c>
      <c r="G6" s="1" t="str">
        <f>IFERROR(__xludf.DUMMYFUNCTION("""COMPUTED_VALUE"""),"Соборное уложение")</f>
        <v>Соборное уложение</v>
      </c>
      <c r="H6" s="1">
        <f>IFERROR(__xludf.DUMMYFUNCTION("""COMPUTED_VALUE"""),305.0)</f>
        <v>305</v>
      </c>
      <c r="I6" s="1" t="str">
        <f>IFERROR(__xludf.DUMMYFUNCTION("""COMPUTED_VALUE"""),"Уложенная комиссия")</f>
        <v>Уложенная комиссия</v>
      </c>
      <c r="J6" s="1">
        <f>IFERROR(__xludf.DUMMYFUNCTION("""COMPUTED_VALUE"""),405.0)</f>
        <v>405</v>
      </c>
      <c r="K6" s="1" t="str">
        <f>IFERROR(__xludf.DUMMYFUNCTION("""COMPUTED_VALUE"""),"Общественное мнение Александр II")</f>
        <v>Общественное мнение Александр II</v>
      </c>
      <c r="L6" s="1">
        <f>IFERROR(__xludf.DUMMYFUNCTION("""COMPUTED_VALUE"""),505.0)</f>
        <v>505</v>
      </c>
      <c r="M6" s="1" t="str">
        <f>IFERROR(__xludf.DUMMYFUNCTION("""COMPUTED_VALUE"""),"Административные изменения большевиков. Ветви власти большевиков")</f>
        <v>Административные изменения большевиков. Ветви власти большевиков</v>
      </c>
      <c r="N6" s="1">
        <f>IFERROR(__xludf.DUMMYFUNCTION("""COMPUTED_VALUE"""),605.0)</f>
        <v>605</v>
      </c>
      <c r="O6" s="1" t="str">
        <f>IFERROR(__xludf.DUMMYFUNCTION("""COMPUTED_VALUE"""),"Экономика при Хрущеве")</f>
        <v>Экономика при Хрущеве</v>
      </c>
      <c r="P6" s="1">
        <f>IFERROR(__xludf.DUMMYFUNCTION("""COMPUTED_VALUE"""),705.0)</f>
        <v>705</v>
      </c>
      <c r="Q6" s="1" t="str">
        <f>IFERROR(__xludf.DUMMYFUNCTION("""COMPUTED_VALUE"""),"Итоги экономических реформ")</f>
        <v>Итоги экономических реформ</v>
      </c>
      <c r="R6" s="1">
        <f>IFERROR(__xludf.DUMMYFUNCTION("""COMPUTED_VALUE"""),805.0)</f>
        <v>805</v>
      </c>
      <c r="S6" s="1" t="str">
        <f>IFERROR(__xludf.DUMMYFUNCTION("""COMPUTED_VALUE"""),"Всемирная история XVI-XVII веков")</f>
        <v>Всемирная история XVI-XVII веков</v>
      </c>
      <c r="T6" s="1">
        <f>IFERROR(__xludf.DUMMYFUNCTION("""COMPUTED_VALUE"""),905.0)</f>
        <v>905</v>
      </c>
      <c r="U6" s="1" t="str">
        <f>IFERROR(__xludf.DUMMYFUNCTION("""COMPUTED_VALUE"""),"Умение выстраивать причинно-следственные связи для изучения исторических процессов/событий")</f>
        <v>Умение выстраивать причинно-следственные связи для изучения исторических процессов/событий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IFERROR(__xludf.DUMMYFUNCTION("""COMPUTED_VALUE"""),"Причины появление государства")</f>
        <v>Причины появление государства</v>
      </c>
      <c r="B7" s="1">
        <f>IFERROR(__xludf.DUMMYFUNCTION("""COMPUTED_VALUE"""),6.0)</f>
        <v>6</v>
      </c>
      <c r="C7" s="1" t="str">
        <f>IFERROR(__xludf.DUMMYFUNCTION("""COMPUTED_VALUE"""),"Ростово (Владимиро) - Суздальское княжество")</f>
        <v>Ростово (Владимиро) - Суздальское княжество</v>
      </c>
      <c r="D7" s="1">
        <f>IFERROR(__xludf.DUMMYFUNCTION("""COMPUTED_VALUE"""),106.0)</f>
        <v>106</v>
      </c>
      <c r="E7" s="1" t="str">
        <f>IFERROR(__xludf.DUMMYFUNCTION("""COMPUTED_VALUE"""),"Земские соборы")</f>
        <v>Земские соборы</v>
      </c>
      <c r="F7" s="1">
        <f>IFERROR(__xludf.DUMMYFUNCTION("""COMPUTED_VALUE"""),206.0)</f>
        <v>206</v>
      </c>
      <c r="G7" s="1" t="str">
        <f>IFERROR(__xludf.DUMMYFUNCTION("""COMPUTED_VALUE"""),"Политика в области торговли при Алексее Михайловиче")</f>
        <v>Политика в области торговли при Алексее Михайловиче</v>
      </c>
      <c r="H7" s="1">
        <f>IFERROR(__xludf.DUMMYFUNCTION("""COMPUTED_VALUE"""),306.0)</f>
        <v>306</v>
      </c>
      <c r="I7" s="1" t="str">
        <f>IFERROR(__xludf.DUMMYFUNCTION("""COMPUTED_VALUE"""),"Жалованные грамоты дворянству и городам")</f>
        <v>Жалованные грамоты дворянству и городам</v>
      </c>
      <c r="J7" s="1">
        <f>IFERROR(__xludf.DUMMYFUNCTION("""COMPUTED_VALUE"""),406.0)</f>
        <v>406</v>
      </c>
      <c r="K7" s="1" t="str">
        <f>IFERROR(__xludf.DUMMYFUNCTION("""COMPUTED_VALUE"""),"Общественное движение при Александре Втором")</f>
        <v>Общественное движение при Александре Втором</v>
      </c>
      <c r="L7" s="1">
        <f>IFERROR(__xludf.DUMMYFUNCTION("""COMPUTED_VALUE"""),506.0)</f>
        <v>506</v>
      </c>
      <c r="M7" s="1" t="str">
        <f>IFERROR(__xludf.DUMMYFUNCTION("""COMPUTED_VALUE"""),"Политические события при большевикав")</f>
        <v>Политические события при большевикав</v>
      </c>
      <c r="N7" s="1">
        <f>IFERROR(__xludf.DUMMYFUNCTION("""COMPUTED_VALUE"""),606.0)</f>
        <v>606</v>
      </c>
      <c r="O7" s="1" t="str">
        <f>IFERROR(__xludf.DUMMYFUNCTION("""COMPUTED_VALUE"""),"Социальные реформы Хрущева")</f>
        <v>Социальные реформы Хрущева</v>
      </c>
      <c r="P7" s="1">
        <f>IFERROR(__xludf.DUMMYFUNCTION("""COMPUTED_VALUE"""),706.0)</f>
        <v>706</v>
      </c>
      <c r="Q7" s="1" t="str">
        <f>IFERROR(__xludf.DUMMYFUNCTION("""COMPUTED_VALUE"""),"Политика в 1990-е")</f>
        <v>Политика в 1990-е</v>
      </c>
      <c r="R7" s="1">
        <f>IFERROR(__xludf.DUMMYFUNCTION("""COMPUTED_VALUE"""),806.0)</f>
        <v>806</v>
      </c>
      <c r="S7" s="1" t="str">
        <f>IFERROR(__xludf.DUMMYFUNCTION("""COMPUTED_VALUE"""),"Всемирная история XVIII века")</f>
        <v>Всемирная история XVIII века</v>
      </c>
      <c r="T7" s="1">
        <f>IFERROR(__xludf.DUMMYFUNCTION("""COMPUTED_VALUE"""),906.0)</f>
        <v>906</v>
      </c>
      <c r="U7" s="1" t="str">
        <f>IFERROR(__xludf.DUMMYFUNCTION("""COMPUTED_VALUE"""),"Умение систематизировать разнообразную историческую информацию")</f>
        <v>Умение систематизировать разнообразную историческую информацию</v>
      </c>
      <c r="V7" s="1">
        <f>IFERROR(__xludf.DUMMYFUNCTION("""COMPUTED_VALUE"""),1006.0)</f>
        <v>1006</v>
      </c>
      <c r="W7" s="1"/>
      <c r="X7" s="1"/>
      <c r="Y7" s="1"/>
      <c r="Z7" s="1"/>
    </row>
    <row r="8">
      <c r="A8" s="1" t="str">
        <f>IFERROR(__xludf.DUMMYFUNCTION("""COMPUTED_VALUE"""),"Торговые пути")</f>
        <v>Торговые пути</v>
      </c>
      <c r="B8" s="1">
        <f>IFERROR(__xludf.DUMMYFUNCTION("""COMPUTED_VALUE"""),7.0)</f>
        <v>7</v>
      </c>
      <c r="C8" s="1" t="str">
        <f>IFERROR(__xludf.DUMMYFUNCTION("""COMPUTED_VALUE"""),"Личность Юрия Долгорукого. Походы на Киев, первое упоминание Москвы")</f>
        <v>Личность Юрия Долгорукого. Походы на Киев, первое упоминание Москвы</v>
      </c>
      <c r="D8" s="1">
        <f>IFERROR(__xludf.DUMMYFUNCTION("""COMPUTED_VALUE"""),107.0)</f>
        <v>107</v>
      </c>
      <c r="E8" s="1" t="str">
        <f>IFERROR(__xludf.DUMMYFUNCTION("""COMPUTED_VALUE"""),"Царский Судебник Ивана Грозного")</f>
        <v>Царский Судебник Ивана Грозного</v>
      </c>
      <c r="F8" s="1">
        <f>IFERROR(__xludf.DUMMYFUNCTION("""COMPUTED_VALUE"""),207.0)</f>
        <v>207</v>
      </c>
      <c r="G8" s="1" t="str">
        <f>IFERROR(__xludf.DUMMYFUNCTION("""COMPUTED_VALUE"""),"Реформы Никона")</f>
        <v>Реформы Никона</v>
      </c>
      <c r="H8" s="1">
        <f>IFERROR(__xludf.DUMMYFUNCTION("""COMPUTED_VALUE"""),307.0)</f>
        <v>307</v>
      </c>
      <c r="I8" s="1" t="str">
        <f>IFERROR(__xludf.DUMMYFUNCTION("""COMPUTED_VALUE"""),"Кризис при Екатерине")</f>
        <v>Кризис при Екатерине</v>
      </c>
      <c r="J8" s="1">
        <f>IFERROR(__xludf.DUMMYFUNCTION("""COMPUTED_VALUE"""),407.0)</f>
        <v>407</v>
      </c>
      <c r="K8" s="1" t="str">
        <f>IFERROR(__xludf.DUMMYFUNCTION("""COMPUTED_VALUE"""),"Покушения на Александра II")</f>
        <v>Покушения на Александра II</v>
      </c>
      <c r="L8" s="1">
        <f>IFERROR(__xludf.DUMMYFUNCTION("""COMPUTED_VALUE"""),507.0)</f>
        <v>507</v>
      </c>
      <c r="M8" s="1" t="str">
        <f>IFERROR(__xludf.DUMMYFUNCTION("""COMPUTED_VALUE"""),"Причины начала военного коммунизма")</f>
        <v>Причины начала военного коммунизма</v>
      </c>
      <c r="N8" s="1">
        <f>IFERROR(__xludf.DUMMYFUNCTION("""COMPUTED_VALUE"""),607.0)</f>
        <v>607</v>
      </c>
      <c r="O8" s="1" t="str">
        <f>IFERROR(__xludf.DUMMYFUNCTION("""COMPUTED_VALUE"""),"Научно-технический прогресс при Хрущеве")</f>
        <v>Научно-технический прогресс при Хрущеве</v>
      </c>
      <c r="P8" s="1">
        <f>IFERROR(__xludf.DUMMYFUNCTION("""COMPUTED_VALUE"""),707.0)</f>
        <v>707</v>
      </c>
      <c r="Q8" s="1" t="str">
        <f>IFERROR(__xludf.DUMMYFUNCTION("""COMPUTED_VALUE"""),"Причины политического кризиса 1993 г")</f>
        <v>Причины политического кризиса 1993 г</v>
      </c>
      <c r="R8" s="1">
        <f>IFERROR(__xludf.DUMMYFUNCTION("""COMPUTED_VALUE"""),807.0)</f>
        <v>807</v>
      </c>
      <c r="S8" s="1" t="str">
        <f>IFERROR(__xludf.DUMMYFUNCTION("""COMPUTED_VALUE"""),"Французская революция XVIII в")</f>
        <v>Французская революция XVIII в</v>
      </c>
      <c r="T8" s="1">
        <f>IFERROR(__xludf.DUMMYFUNCTION("""COMPUTED_VALUE"""),907.0)</f>
        <v>907</v>
      </c>
      <c r="U8" s="1" t="str">
        <f>IFERROR(__xludf.DUMMYFUNCTION("""COMPUTED_VALUE"""),"Знание исторических понятий, умение их использовать")</f>
        <v>Знание исторических понятий, умение их использовать</v>
      </c>
      <c r="V8" s="1">
        <f>IFERROR(__xludf.DUMMYFUNCTION("""COMPUTED_VALUE"""),1007.0)</f>
        <v>1007</v>
      </c>
      <c r="W8" s="1"/>
      <c r="X8" s="1"/>
      <c r="Y8" s="1"/>
      <c r="Z8" s="1"/>
    </row>
    <row r="9">
      <c r="A9" s="1" t="str">
        <f>IFERROR(__xludf.DUMMYFUNCTION("""COMPUTED_VALUE"""),"Соседи славян")</f>
        <v>Соседи славян</v>
      </c>
      <c r="B9" s="1">
        <f>IFERROR(__xludf.DUMMYFUNCTION("""COMPUTED_VALUE"""),8.0)</f>
        <v>8</v>
      </c>
      <c r="C9" s="1" t="str">
        <f>IFERROR(__xludf.DUMMYFUNCTION("""COMPUTED_VALUE"""),"Политика Андрея Боголюбского. Убийство Боголюбского")</f>
        <v>Политика Андрея Боголюбского. Убийство Боголюбского</v>
      </c>
      <c r="D9" s="1">
        <f>IFERROR(__xludf.DUMMYFUNCTION("""COMPUTED_VALUE"""),108.0)</f>
        <v>108</v>
      </c>
      <c r="E9" s="1" t="str">
        <f>IFERROR(__xludf.DUMMYFUNCTION("""COMPUTED_VALUE"""),"Стоглавый собор")</f>
        <v>Стоглавый собор</v>
      </c>
      <c r="F9" s="1">
        <f>IFERROR(__xludf.DUMMYFUNCTION("""COMPUTED_VALUE"""),208.0)</f>
        <v>208</v>
      </c>
      <c r="G9" s="1" t="str">
        <f>IFERROR(__xludf.DUMMYFUNCTION("""COMPUTED_VALUE"""),"Восстание Степана Разина")</f>
        <v>Восстание Степана Разина</v>
      </c>
      <c r="H9" s="1">
        <f>IFERROR(__xludf.DUMMYFUNCTION("""COMPUTED_VALUE"""),308.0)</f>
        <v>308</v>
      </c>
      <c r="I9" s="1" t="str">
        <f>IFERROR(__xludf.DUMMYFUNCTION("""COMPUTED_VALUE"""),"Пугачевщина")</f>
        <v>Пугачевщина</v>
      </c>
      <c r="J9" s="1">
        <f>IFERROR(__xludf.DUMMYFUNCTION("""COMPUTED_VALUE"""),408.0)</f>
        <v>408</v>
      </c>
      <c r="K9" s="1" t="str">
        <f>IFERROR(__xludf.DUMMYFUNCTION("""COMPUTED_VALUE"""),"Убийство Александра II")</f>
        <v>Убийство Александра II</v>
      </c>
      <c r="L9" s="1">
        <f>IFERROR(__xludf.DUMMYFUNCTION("""COMPUTED_VALUE"""),508.0)</f>
        <v>508</v>
      </c>
      <c r="M9" s="1" t="str">
        <f>IFERROR(__xludf.DUMMYFUNCTION("""COMPUTED_VALUE"""),"Военный коммунизм")</f>
        <v>Военный коммунизм</v>
      </c>
      <c r="N9" s="1">
        <f>IFERROR(__xludf.DUMMYFUNCTION("""COMPUTED_VALUE"""),608.0)</f>
        <v>608</v>
      </c>
      <c r="O9" s="1" t="str">
        <f>IFERROR(__xludf.DUMMYFUNCTION("""COMPUTED_VALUE"""),"Административные реформы")</f>
        <v>Административные реформы</v>
      </c>
      <c r="P9" s="1">
        <f>IFERROR(__xludf.DUMMYFUNCTION("""COMPUTED_VALUE"""),708.0)</f>
        <v>708</v>
      </c>
      <c r="Q9" s="1" t="str">
        <f>IFERROR(__xludf.DUMMYFUNCTION("""COMPUTED_VALUE"""),"Конституция 1993 года")</f>
        <v>Конституция 1993 года</v>
      </c>
      <c r="R9" s="1">
        <f>IFERROR(__xludf.DUMMYFUNCTION("""COMPUTED_VALUE"""),808.0)</f>
        <v>808</v>
      </c>
      <c r="S9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T9" s="1">
        <f>IFERROR(__xludf.DUMMYFUNCTION("""COMPUTED_VALUE"""),908.0)</f>
        <v>908</v>
      </c>
      <c r="U9" s="1" t="str">
        <f>IFERROR(__xludf.DUMMYFUNCTION("""COMPUTED_VALUE"""),"Умение использовать исторические сведения для аргументации в ходе дискуссии")</f>
        <v>Умение использовать исторические сведения для аргументации в ходе дискуссии</v>
      </c>
      <c r="V9" s="1">
        <f>IFERROR(__xludf.DUMMYFUNCTION("""COMPUTED_VALUE"""),1008.0)</f>
        <v>1008</v>
      </c>
      <c r="W9" s="1"/>
      <c r="X9" s="1"/>
      <c r="Y9" s="1"/>
      <c r="Z9" s="1"/>
    </row>
    <row r="10">
      <c r="A10" s="1" t="str">
        <f>IFERROR(__xludf.DUMMYFUNCTION("""COMPUTED_VALUE"""),"Общественный строй")</f>
        <v>Общественный строй</v>
      </c>
      <c r="B10" s="1">
        <f>IFERROR(__xludf.DUMMYFUNCTION("""COMPUTED_VALUE"""),9.0)</f>
        <v>9</v>
      </c>
      <c r="C10" s="1" t="str">
        <f>IFERROR(__xludf.DUMMYFUNCTION("""COMPUTED_VALUE"""),"Архитектурная застройка при Боголюбском")</f>
        <v>Архитектурная застройка при Боголюбском</v>
      </c>
      <c r="D10" s="1">
        <f>IFERROR(__xludf.DUMMYFUNCTION("""COMPUTED_VALUE"""),109.0)</f>
        <v>109</v>
      </c>
      <c r="E10" s="1" t="str">
        <f>IFERROR(__xludf.DUMMYFUNCTION("""COMPUTED_VALUE"""),"Приказная система")</f>
        <v>Приказная система</v>
      </c>
      <c r="F10" s="1">
        <f>IFERROR(__xludf.DUMMYFUNCTION("""COMPUTED_VALUE"""),209.0)</f>
        <v>209</v>
      </c>
      <c r="G10" s="1" t="str">
        <f>IFERROR(__xludf.DUMMYFUNCTION("""COMPUTED_VALUE"""),"Присоединение Левобережной Украины")</f>
        <v>Присоединение Левобережной Украины</v>
      </c>
      <c r="H10" s="1">
        <f>IFERROR(__xludf.DUMMYFUNCTION("""COMPUTED_VALUE"""),309.0)</f>
        <v>309</v>
      </c>
      <c r="I10" s="1" t="str">
        <f>IFERROR(__xludf.DUMMYFUNCTION("""COMPUTED_VALUE"""),"Русско-турецкая война 1768-1774")</f>
        <v>Русско-турецкая война 1768-1774</v>
      </c>
      <c r="J10" s="1">
        <f>IFERROR(__xludf.DUMMYFUNCTION("""COMPUTED_VALUE"""),409.0)</f>
        <v>409</v>
      </c>
      <c r="K10" s="1" t="str">
        <f>IFERROR(__xludf.DUMMYFUNCTION("""COMPUTED_VALUE"""),"Внешняя политика Александра II")</f>
        <v>Внешняя политика Александра II</v>
      </c>
      <c r="L10" s="1">
        <f>IFERROR(__xludf.DUMMYFUNCTION("""COMPUTED_VALUE"""),509.0)</f>
        <v>509</v>
      </c>
      <c r="M10" s="1" t="str">
        <f>IFERROR(__xludf.DUMMYFUNCTION("""COMPUTED_VALUE"""),"Брестский мир")</f>
        <v>Брестский мир</v>
      </c>
      <c r="N10" s="1">
        <f>IFERROR(__xludf.DUMMYFUNCTION("""COMPUTED_VALUE"""),609.0)</f>
        <v>609</v>
      </c>
      <c r="O10" s="1" t="str">
        <f>IFERROR(__xludf.DUMMYFUNCTION("""COMPUTED_VALUE"""),"Реформа образования")</f>
        <v>Реформа образования</v>
      </c>
      <c r="P10" s="1">
        <f>IFERROR(__xludf.DUMMYFUNCTION("""COMPUTED_VALUE"""),709.0)</f>
        <v>709</v>
      </c>
      <c r="Q10" s="1" t="str">
        <f>IFERROR(__xludf.DUMMYFUNCTION("""COMPUTED_VALUE"""),"Появление ГосДумы и Совета Федерации")</f>
        <v>Появление ГосДумы и Совета Федерации</v>
      </c>
      <c r="R10" s="1">
        <f>IFERROR(__xludf.DUMMYFUNCTION("""COMPUTED_VALUE"""),809.0)</f>
        <v>809</v>
      </c>
      <c r="S10" s="1" t="str">
        <f>IFERROR(__xludf.DUMMYFUNCTION("""COMPUTED_VALUE"""),"Создание колониальных импери")</f>
        <v>Создание колониальных импери</v>
      </c>
      <c r="T10" s="1">
        <f>IFERROR(__xludf.DUMMYFUNCTION("""COMPUTED_VALUE"""),909.0)</f>
        <v>909</v>
      </c>
      <c r="U10" s="1" t="str">
        <f>IFERROR(__xludf.DUMMYFUNCTION("""COMPUTED_VALUE"""),"Знание исторических деятелей")</f>
        <v>Знание исторических деятелей</v>
      </c>
      <c r="V10" s="1">
        <f>IFERROR(__xludf.DUMMYFUNCTION("""COMPUTED_VALUE"""),1009.0)</f>
        <v>1009</v>
      </c>
      <c r="W10" s="1"/>
      <c r="X10" s="1"/>
      <c r="Y10" s="1"/>
      <c r="Z10" s="1"/>
    </row>
    <row r="11">
      <c r="A11" s="1" t="str">
        <f>IFERROR(__xludf.DUMMYFUNCTION("""COMPUTED_VALUE"""),"Призвание варягов")</f>
        <v>Призвание варягов</v>
      </c>
      <c r="B11" s="1">
        <f>IFERROR(__xludf.DUMMYFUNCTION("""COMPUTED_VALUE"""),10.0)</f>
        <v>10</v>
      </c>
      <c r="C11" s="1" t="str">
        <f>IFERROR(__xludf.DUMMYFUNCTION("""COMPUTED_VALUE"""),"Личность Всеволода, его прозвище. Борьба с двоюродными братьями")</f>
        <v>Личность Всеволода, его прозвище. Борьба с двоюродными братьями</v>
      </c>
      <c r="D11" s="1">
        <f>IFERROR(__xludf.DUMMYFUNCTION("""COMPUTED_VALUE"""),110.0)</f>
        <v>110</v>
      </c>
      <c r="E11" s="1" t="str">
        <f>IFERROR(__xludf.DUMMYFUNCTION("""COMPUTED_VALUE"""),"Военная реформа Ивана Грозного")</f>
        <v>Военная реформа Ивана Грозного</v>
      </c>
      <c r="F11" s="1">
        <f>IFERROR(__xludf.DUMMYFUNCTION("""COMPUTED_VALUE"""),210.0)</f>
        <v>210</v>
      </c>
      <c r="G11" s="1" t="str">
        <f>IFERROR(__xludf.DUMMYFUNCTION("""COMPUTED_VALUE"""),"Русско-польская война 1654-1667 гг.")</f>
        <v>Русско-польская война 1654-1667 гг.</v>
      </c>
      <c r="H11" s="1">
        <f>IFERROR(__xludf.DUMMYFUNCTION("""COMPUTED_VALUE"""),310.0)</f>
        <v>310</v>
      </c>
      <c r="I11" s="1" t="str">
        <f>IFERROR(__xludf.DUMMYFUNCTION("""COMPUTED_VALUE"""),"Присоединение Крыма")</f>
        <v>Присоединение Крыма</v>
      </c>
      <c r="J11" s="1">
        <f>IFERROR(__xludf.DUMMYFUNCTION("""COMPUTED_VALUE"""),410.0)</f>
        <v>410</v>
      </c>
      <c r="K11" s="1" t="str">
        <f>IFERROR(__xludf.DUMMYFUNCTION("""COMPUTED_VALUE"""),"Русско-турецкая война 1877-1878")</f>
        <v>Русско-турецкая война 1877-1878</v>
      </c>
      <c r="L11" s="1">
        <f>IFERROR(__xludf.DUMMYFUNCTION("""COMPUTED_VALUE"""),510.0)</f>
        <v>510</v>
      </c>
      <c r="M11" s="1" t="str">
        <f>IFERROR(__xludf.DUMMYFUNCTION("""COMPUTED_VALUE"""),"Гражданская Война")</f>
        <v>Гражданская Война</v>
      </c>
      <c r="N11" s="1">
        <f>IFERROR(__xludf.DUMMYFUNCTION("""COMPUTED_VALUE"""),610.0)</f>
        <v>610</v>
      </c>
      <c r="O11" s="1" t="str">
        <f>IFERROR(__xludf.DUMMYFUNCTION("""COMPUTED_VALUE"""),"Партия и социализм. Хрущев")</f>
        <v>Партия и социализм. Хрущев</v>
      </c>
      <c r="P11" s="1">
        <f>IFERROR(__xludf.DUMMYFUNCTION("""COMPUTED_VALUE"""),710.0)</f>
        <v>710</v>
      </c>
      <c r="Q11" s="1" t="str">
        <f>IFERROR(__xludf.DUMMYFUNCTION("""COMPUTED_VALUE"""),"Сепаратизм Чечни, Татарстана")</f>
        <v>Сепаратизм Чечни, Татарстана</v>
      </c>
      <c r="R11" s="1">
        <f>IFERROR(__xludf.DUMMYFUNCTION("""COMPUTED_VALUE"""),810.0)</f>
        <v>810</v>
      </c>
      <c r="S11" s="1" t="str">
        <f>IFERROR(__xludf.DUMMYFUNCTION("""COMPUTED_VALUE"""),"Внутренняя и внешняя политика Османской империи, Индии, Китая, Японии")</f>
        <v>Внутренняя и внешняя политика Османской империи, Индии, Китая, Японии</v>
      </c>
      <c r="T11" s="1">
        <f>IFERROR(__xludf.DUMMYFUNCTION("""COMPUTED_VALUE"""),910.0)</f>
        <v>910</v>
      </c>
      <c r="U11" s="1" t="str">
        <f>IFERROR(__xludf.DUMMYFUNCTION("""COMPUTED_VALUE"""),"Знание дат")</f>
        <v>Знание дат</v>
      </c>
      <c r="V11" s="1">
        <f>IFERROR(__xludf.DUMMYFUNCTION("""COMPUTED_VALUE"""),1010.0)</f>
        <v>1010</v>
      </c>
      <c r="W11" s="1"/>
      <c r="X11" s="1"/>
      <c r="Y11" s="1"/>
      <c r="Z11" s="1"/>
    </row>
    <row r="12">
      <c r="A12" s="1" t="str">
        <f>IFERROR(__xludf.DUMMYFUNCTION("""COMPUTED_VALUE"""),"Норманская, антинорманская и центристская теории")</f>
        <v>Норманская, антинорманская и центристская теории</v>
      </c>
      <c r="B12" s="1">
        <f>IFERROR(__xludf.DUMMYFUNCTION("""COMPUTED_VALUE"""),11.0)</f>
        <v>11</v>
      </c>
      <c r="C12" s="1" t="str">
        <f>IFERROR(__xludf.DUMMYFUNCTION("""COMPUTED_VALUE"""),"Княжение Юрия Всеволодовича. Основание Нижнего Новгорода")</f>
        <v>Княжение Юрия Всеволодовича. Основание Нижнего Новгорода</v>
      </c>
      <c r="D12" s="1">
        <f>IFERROR(__xludf.DUMMYFUNCTION("""COMPUTED_VALUE"""),111.0)</f>
        <v>111</v>
      </c>
      <c r="E12" s="1" t="str">
        <f>IFERROR(__xludf.DUMMYFUNCTION("""COMPUTED_VALUE"""),"Ограничение местничества")</f>
        <v>Ограничение местничества</v>
      </c>
      <c r="F12" s="1">
        <f>IFERROR(__xludf.DUMMYFUNCTION("""COMPUTED_VALUE"""),211.0)</f>
        <v>211</v>
      </c>
      <c r="G12" s="1" t="str">
        <f>IFERROR(__xludf.DUMMYFUNCTION("""COMPUTED_VALUE"""),"Русско-шведская война 1656-1658 гг.")</f>
        <v>Русско-шведская война 1656-1658 гг.</v>
      </c>
      <c r="H12" s="1">
        <f>IFERROR(__xludf.DUMMYFUNCTION("""COMPUTED_VALUE"""),311.0)</f>
        <v>311</v>
      </c>
      <c r="I12" s="1" t="str">
        <f>IFERROR(__xludf.DUMMYFUNCTION("""COMPUTED_VALUE"""),"Георгиевский трактат с Грузией")</f>
        <v>Георгиевский трактат с Грузией</v>
      </c>
      <c r="J12" s="1">
        <f>IFERROR(__xludf.DUMMYFUNCTION("""COMPUTED_VALUE"""),411.0)</f>
        <v>411</v>
      </c>
      <c r="K12" s="1" t="str">
        <f>IFERROR(__xludf.DUMMYFUNCTION("""COMPUTED_VALUE"""),"Завоевание Средней Азии")</f>
        <v>Завоевание Средней Азии</v>
      </c>
      <c r="L12" s="1">
        <f>IFERROR(__xludf.DUMMYFUNCTION("""COMPUTED_VALUE"""),511.0)</f>
        <v>511</v>
      </c>
      <c r="M12" s="1" t="str">
        <f>IFERROR(__xludf.DUMMYFUNCTION("""COMPUTED_VALUE"""),"Причины Гражданской войны")</f>
        <v>Причины Гражданской войны</v>
      </c>
      <c r="N12" s="1">
        <f>IFERROR(__xludf.DUMMYFUNCTION("""COMPUTED_VALUE"""),611.0)</f>
        <v>611</v>
      </c>
      <c r="O12" s="1" t="str">
        <f>IFERROR(__xludf.DUMMYFUNCTION("""COMPUTED_VALUE"""),"Внешняя политика при Хрущеве")</f>
        <v>Внешняя политика при Хрущеве</v>
      </c>
      <c r="P12" s="1">
        <f>IFERROR(__xludf.DUMMYFUNCTION("""COMPUTED_VALUE"""),711.0)</f>
        <v>711</v>
      </c>
      <c r="Q12" s="1" t="str">
        <f>IFERROR(__xludf.DUMMYFUNCTION("""COMPUTED_VALUE"""),"Первая чеченская война")</f>
        <v>Первая чеченская война</v>
      </c>
      <c r="R12" s="1">
        <f>IFERROR(__xludf.DUMMYFUNCTION("""COMPUTED_VALUE"""),811.0)</f>
        <v>811</v>
      </c>
      <c r="S12" s="1" t="str">
        <f>IFERROR(__xludf.DUMMYFUNCTION("""COMPUTED_VALUE"""),"Политическое и социально-экономическое развитие европейских стран в XIX – начале XX в")</f>
        <v>Политическое и социально-экономическое развитие европейских стран в XIX – начале XX в</v>
      </c>
      <c r="T12" s="1">
        <f>IFERROR(__xludf.DUMMYFUNCTION("""COMPUTED_VALUE"""),911.0)</f>
        <v>911</v>
      </c>
      <c r="U12" s="1" t="str">
        <f>IFERROR(__xludf.DUMMYFUNCTION("""COMPUTED_VALUE"""),"Знание фактов истории культуры")</f>
        <v>Знание фактов истории культуры</v>
      </c>
      <c r="V12" s="1">
        <f>IFERROR(__xludf.DUMMYFUNCTION("""COMPUTED_VALUE"""),1011.0)</f>
        <v>1011</v>
      </c>
      <c r="W12" s="1"/>
      <c r="X12" s="1"/>
      <c r="Y12" s="1"/>
      <c r="Z12" s="1"/>
    </row>
    <row r="13">
      <c r="A13" s="1" t="str">
        <f>IFERROR(__xludf.DUMMYFUNCTION("""COMPUTED_VALUE"""),"Язычество славян")</f>
        <v>Язычество славян</v>
      </c>
      <c r="B13" s="1">
        <f>IFERROR(__xludf.DUMMYFUNCTION("""COMPUTED_VALUE"""),12.0)</f>
        <v>12</v>
      </c>
      <c r="C13" s="1" t="str">
        <f>IFERROR(__xludf.DUMMYFUNCTION("""COMPUTED_VALUE"""),"Первое столкновение с монголо-татарами")</f>
        <v>Первое столкновение с монголо-татарами</v>
      </c>
      <c r="D13" s="1">
        <f>IFERROR(__xludf.DUMMYFUNCTION("""COMPUTED_VALUE"""),112.0)</f>
        <v>112</v>
      </c>
      <c r="E13" s="1" t="str">
        <f>IFERROR(__xludf.DUMMYFUNCTION("""COMPUTED_VALUE"""),"Опричнина 1565-1572 гг.")</f>
        <v>Опричнина 1565-1572 гг.</v>
      </c>
      <c r="F13" s="1">
        <f>IFERROR(__xludf.DUMMYFUNCTION("""COMPUTED_VALUE"""),212.0)</f>
        <v>212</v>
      </c>
      <c r="G13" s="1" t="str">
        <f>IFERROR(__xludf.DUMMYFUNCTION("""COMPUTED_VALUE"""),"Освоение Сибири")</f>
        <v>Освоение Сибири</v>
      </c>
      <c r="H13" s="1">
        <f>IFERROR(__xludf.DUMMYFUNCTION("""COMPUTED_VALUE"""),312.0)</f>
        <v>312</v>
      </c>
      <c r="I13" s="1" t="str">
        <f>IFERROR(__xludf.DUMMYFUNCTION("""COMPUTED_VALUE"""),"Русско-турецкая война 1787-1791")</f>
        <v>Русско-турецкая война 1787-1791</v>
      </c>
      <c r="J13" s="1">
        <f>IFERROR(__xludf.DUMMYFUNCTION("""COMPUTED_VALUE"""),412.0)</f>
        <v>412</v>
      </c>
      <c r="K13" s="1" t="str">
        <f>IFERROR(__xludf.DUMMYFUNCTION("""COMPUTED_VALUE"""),"Заключение договоров с Японией и Китаем")</f>
        <v>Заключение договоров с Японией и Китаем</v>
      </c>
      <c r="L13" s="1">
        <f>IFERROR(__xludf.DUMMYFUNCTION("""COMPUTED_VALUE"""),512.0)</f>
        <v>512</v>
      </c>
      <c r="M13" s="1" t="str">
        <f>IFERROR(__xludf.DUMMYFUNCTION("""COMPUTED_VALUE"""),"Интервенции гражданской войны")</f>
        <v>Интервенции гражданской войны</v>
      </c>
      <c r="N13" s="1">
        <f>IFERROR(__xludf.DUMMYFUNCTION("""COMPUTED_VALUE"""),612.0)</f>
        <v>612</v>
      </c>
      <c r="O13" s="1" t="str">
        <f>IFERROR(__xludf.DUMMYFUNCTION("""COMPUTED_VALUE"""),"Создание Организации Варшавского договора")</f>
        <v>Создание Организации Варшавского договора</v>
      </c>
      <c r="P13" s="1">
        <f>IFERROR(__xludf.DUMMYFUNCTION("""COMPUTED_VALUE"""),712.0)</f>
        <v>712</v>
      </c>
      <c r="Q13" s="1" t="str">
        <f>IFERROR(__xludf.DUMMYFUNCTION("""COMPUTED_VALUE"""),"Хасавюртовские соглашения")</f>
        <v>Хасавюртовские соглашения</v>
      </c>
      <c r="R13" s="1">
        <f>IFERROR(__xludf.DUMMYFUNCTION("""COMPUTED_VALUE"""),812.0)</f>
        <v>812</v>
      </c>
      <c r="S13" s="1" t="str">
        <f>IFERROR(__xludf.DUMMYFUNCTION("""COMPUTED_VALUE"""),"Европейские революции XIX в")</f>
        <v>Европейские революции XIX в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IFERROR(__xludf.DUMMYFUNCTION("""COMPUTED_VALUE"""),"Рюрик")</f>
        <v>Рюрик</v>
      </c>
      <c r="B14" s="1">
        <f>IFERROR(__xludf.DUMMYFUNCTION("""COMPUTED_VALUE"""),13.0)</f>
        <v>13</v>
      </c>
      <c r="C14" s="1" t="str">
        <f>IFERROR(__xludf.DUMMYFUNCTION("""COMPUTED_VALUE"""),"Империя Чингисхана")</f>
        <v>Империя Чингисхана</v>
      </c>
      <c r="D14" s="1">
        <f>IFERROR(__xludf.DUMMYFUNCTION("""COMPUTED_VALUE"""),113.0)</f>
        <v>113</v>
      </c>
      <c r="E14" s="1" t="str">
        <f>IFERROR(__xludf.DUMMYFUNCTION("""COMPUTED_VALUE"""),"Присоединение Поволжья")</f>
        <v>Присоединение Поволжья</v>
      </c>
      <c r="F14" s="1">
        <f>IFERROR(__xludf.DUMMYFUNCTION("""COMPUTED_VALUE"""),213.0)</f>
        <v>213</v>
      </c>
      <c r="G14" s="1" t="str">
        <f>IFERROR(__xludf.DUMMYFUNCTION("""COMPUTED_VALUE"""),"Экспедиции 17-18 век")</f>
        <v>Экспедиции 17-18 век</v>
      </c>
      <c r="H14" s="1">
        <f>IFERROR(__xludf.DUMMYFUNCTION("""COMPUTED_VALUE"""),313.0)</f>
        <v>313</v>
      </c>
      <c r="I14" s="1" t="str">
        <f>IFERROR(__xludf.DUMMYFUNCTION("""COMPUTED_VALUE"""),"Русско-шведская война 1788-1790")</f>
        <v>Русско-шведская война 1788-1790</v>
      </c>
      <c r="J14" s="1">
        <f>IFERROR(__xludf.DUMMYFUNCTION("""COMPUTED_VALUE"""),413.0)</f>
        <v>413</v>
      </c>
      <c r="K14" s="1" t="str">
        <f>IFERROR(__xludf.DUMMYFUNCTION("""COMPUTED_VALUE"""),"Личность Александра Третьего")</f>
        <v>Личность Александра Третьего</v>
      </c>
      <c r="L14" s="1">
        <f>IFERROR(__xludf.DUMMYFUNCTION("""COMPUTED_VALUE"""),513.0)</f>
        <v>513</v>
      </c>
      <c r="M14" s="1" t="str">
        <f>IFERROR(__xludf.DUMMYFUNCTION("""COMPUTED_VALUE"""),"Белое движение")</f>
        <v>Белое движение</v>
      </c>
      <c r="N14" s="1">
        <f>IFERROR(__xludf.DUMMYFUNCTION("""COMPUTED_VALUE"""),613.0)</f>
        <v>613</v>
      </c>
      <c r="O14" s="1" t="str">
        <f>IFERROR(__xludf.DUMMYFUNCTION("""COMPUTED_VALUE"""),"Карибский кризис")</f>
        <v>Карибский кризис</v>
      </c>
      <c r="P14" s="1">
        <f>IFERROR(__xludf.DUMMYFUNCTION("""COMPUTED_VALUE"""),713.0)</f>
        <v>713</v>
      </c>
      <c r="Q14" s="1" t="str">
        <f>IFERROR(__xludf.DUMMYFUNCTION("""COMPUTED_VALUE"""),"Вторая чеченская война")</f>
        <v>Вторая чеченская война</v>
      </c>
      <c r="R14" s="1">
        <f>IFERROR(__xludf.DUMMYFUNCTION("""COMPUTED_VALUE"""),813.0)</f>
        <v>813</v>
      </c>
      <c r="S14" s="1" t="str">
        <f>IFERROR(__xludf.DUMMYFUNCTION("""COMPUTED_VALUE"""),"Утверждение конституционных и парламентских монархий")</f>
        <v>Утверждение конституционных и парламентских монархий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IFERROR(__xludf.DUMMYFUNCTION("""COMPUTED_VALUE"""),"Поход на Киев в 882. Создание древнерусского государства")</f>
        <v>Поход на Киев в 882. Создание древнерусского государства</v>
      </c>
      <c r="B15" s="1">
        <f>IFERROR(__xludf.DUMMYFUNCTION("""COMPUTED_VALUE"""),14.0)</f>
        <v>14</v>
      </c>
      <c r="C15" s="1" t="str">
        <f>IFERROR(__xludf.DUMMYFUNCTION("""COMPUTED_VALUE"""),"Северо-восточный поход Батыя")</f>
        <v>Северо-восточный поход Батыя</v>
      </c>
      <c r="D15" s="1">
        <f>IFERROR(__xludf.DUMMYFUNCTION("""COMPUTED_VALUE"""),114.0)</f>
        <v>114</v>
      </c>
      <c r="E15" s="1" t="str">
        <f>IFERROR(__xludf.DUMMYFUNCTION("""COMPUTED_VALUE"""),"Дипломатия при Грозном")</f>
        <v>Дипломатия при Грозном</v>
      </c>
      <c r="F15" s="1">
        <f>IFERROR(__xludf.DUMMYFUNCTION("""COMPUTED_VALUE"""),214.0)</f>
        <v>214</v>
      </c>
      <c r="G15" s="1" t="str">
        <f>IFERROR(__xludf.DUMMYFUNCTION("""COMPUTED_VALUE"""),"Русско-турецкая война при Федоре Алексеевиче")</f>
        <v>Русско-турецкая война при Федоре Алексеевиче</v>
      </c>
      <c r="H15" s="1">
        <f>IFERROR(__xludf.DUMMYFUNCTION("""COMPUTED_VALUE"""),314.0)</f>
        <v>314</v>
      </c>
      <c r="I15" s="1" t="str">
        <f>IFERROR(__xludf.DUMMYFUNCTION("""COMPUTED_VALUE"""),"Разделы Речи Посполитой")</f>
        <v>Разделы Речи Посполитой</v>
      </c>
      <c r="J15" s="1">
        <f>IFERROR(__xludf.DUMMYFUNCTION("""COMPUTED_VALUE"""),414.0)</f>
        <v>414</v>
      </c>
      <c r="K15" s="1" t="str">
        <f>IFERROR(__xludf.DUMMYFUNCTION("""COMPUTED_VALUE"""),"Сподвижники Александра III")</f>
        <v>Сподвижники Александра III</v>
      </c>
      <c r="L15" s="1">
        <f>IFERROR(__xludf.DUMMYFUNCTION("""COMPUTED_VALUE"""),514.0)</f>
        <v>514</v>
      </c>
      <c r="M15" s="1" t="str">
        <f>IFERROR(__xludf.DUMMYFUNCTION("""COMPUTED_VALUE"""),"Советско-польская война")</f>
        <v>Советско-польская война</v>
      </c>
      <c r="N15" s="1">
        <f>IFERROR(__xludf.DUMMYFUNCTION("""COMPUTED_VALUE"""),614.0)</f>
        <v>614</v>
      </c>
      <c r="O15" s="1" t="str">
        <f>IFERROR(__xludf.DUMMYFUNCTION("""COMPUTED_VALUE"""),"Берлинская стена")</f>
        <v>Берлинская стена</v>
      </c>
      <c r="P15" s="1">
        <f>IFERROR(__xludf.DUMMYFUNCTION("""COMPUTED_VALUE"""),714.0)</f>
        <v>714</v>
      </c>
      <c r="Q15" s="1" t="str">
        <f>IFERROR(__xludf.DUMMYFUNCTION("""COMPUTED_VALUE"""),"Причины дефолта")</f>
        <v>Причины дефолта</v>
      </c>
      <c r="R15" s="1">
        <f>IFERROR(__xludf.DUMMYFUNCTION("""COMPUTED_VALUE"""),814.0)</f>
        <v>814</v>
      </c>
      <c r="S15" s="1" t="str">
        <f>IFERROR(__xludf.DUMMYFUNCTION("""COMPUTED_VALUE"""),"Создание Германской империи")</f>
        <v>Создание Германской империи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IFERROR(__xludf.DUMMYFUNCTION("""COMPUTED_VALUE"""),"Походы на Византию Олега")</f>
        <v>Походы на Византию Олега</v>
      </c>
      <c r="B16" s="1">
        <f>IFERROR(__xludf.DUMMYFUNCTION("""COMPUTED_VALUE"""),15.0)</f>
        <v>15</v>
      </c>
      <c r="C16" s="1" t="str">
        <f>IFERROR(__xludf.DUMMYFUNCTION("""COMPUTED_VALUE"""),"Юго-западный поход Батыя")</f>
        <v>Юго-западный поход Батыя</v>
      </c>
      <c r="D16" s="1">
        <f>IFERROR(__xludf.DUMMYFUNCTION("""COMPUTED_VALUE"""),115.0)</f>
        <v>115</v>
      </c>
      <c r="E16" s="1" t="str">
        <f>IFERROR(__xludf.DUMMYFUNCTION("""COMPUTED_VALUE"""),"Начало освоения Сибири")</f>
        <v>Начало освоения Сибири</v>
      </c>
      <c r="F16" s="1">
        <f>IFERROR(__xludf.DUMMYFUNCTION("""COMPUTED_VALUE"""),215.0)</f>
        <v>215</v>
      </c>
      <c r="G16" s="1" t="str">
        <f>IFERROR(__xludf.DUMMYFUNCTION("""COMPUTED_VALUE"""),"Внутренняя политика Федора Алексеевича")</f>
        <v>Внутренняя политика Федора Алексеевича</v>
      </c>
      <c r="H16" s="1">
        <f>IFERROR(__xludf.DUMMYFUNCTION("""COMPUTED_VALUE"""),315.0)</f>
        <v>315</v>
      </c>
      <c r="I16" s="1" t="str">
        <f>IFERROR(__xludf.DUMMYFUNCTION("""COMPUTED_VALUE"""),"Дипломатия Екатерины II")</f>
        <v>Дипломатия Екатерины II</v>
      </c>
      <c r="J16" s="1">
        <f>IFERROR(__xludf.DUMMYFUNCTION("""COMPUTED_VALUE"""),415.0)</f>
        <v>415</v>
      </c>
      <c r="K16" s="1" t="str">
        <f>IFERROR(__xludf.DUMMYFUNCTION("""COMPUTED_VALUE"""),"Внутренняя политика Александра III")</f>
        <v>Внутренняя политика Александра III</v>
      </c>
      <c r="L16" s="1">
        <f>IFERROR(__xludf.DUMMYFUNCTION("""COMPUTED_VALUE"""),515.0)</f>
        <v>515</v>
      </c>
      <c r="M16" s="1" t="str">
        <f>IFERROR(__xludf.DUMMYFUNCTION("""COMPUTED_VALUE"""),"Причины победы красных")</f>
        <v>Причины победы красных</v>
      </c>
      <c r="N16" s="1">
        <f>IFERROR(__xludf.DUMMYFUNCTION("""COMPUTED_VALUE"""),615.0)</f>
        <v>615</v>
      </c>
      <c r="O16" s="1" t="str">
        <f>IFERROR(__xludf.DUMMYFUNCTION("""COMPUTED_VALUE"""),"Смещение Хрущёва")</f>
        <v>Смещение Хрущёва</v>
      </c>
      <c r="P16" s="1">
        <f>IFERROR(__xludf.DUMMYFUNCTION("""COMPUTED_VALUE"""),715.0)</f>
        <v>715</v>
      </c>
      <c r="Q16" s="1" t="str">
        <f>IFERROR(__xludf.DUMMYFUNCTION("""COMPUTED_VALUE"""),"Последствия Дефолта")</f>
        <v>Последствия Дефолта</v>
      </c>
      <c r="R16" s="1">
        <f>IFERROR(__xludf.DUMMYFUNCTION("""COMPUTED_VALUE"""),815.0)</f>
        <v>815</v>
      </c>
      <c r="S16" s="1" t="str">
        <f>IFERROR(__xludf.DUMMYFUNCTION("""COMPUTED_VALUE"""),"Образование единого государства в Италии")</f>
        <v>Образование единого государства в Италии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IFERROR(__xludf.DUMMYFUNCTION("""COMPUTED_VALUE"""),"Первое столкновение с печенегами")</f>
        <v>Первое столкновение с печенегами</v>
      </c>
      <c r="B17" s="1">
        <f>IFERROR(__xludf.DUMMYFUNCTION("""COMPUTED_VALUE"""),16.0)</f>
        <v>16</v>
      </c>
      <c r="C17" s="1" t="str">
        <f>IFERROR(__xludf.DUMMYFUNCTION("""COMPUTED_VALUE"""),"Последствия нашествия")</f>
        <v>Последствия нашествия</v>
      </c>
      <c r="D17" s="1">
        <f>IFERROR(__xludf.DUMMYFUNCTION("""COMPUTED_VALUE"""),116.0)</f>
        <v>116</v>
      </c>
      <c r="E17" s="1" t="str">
        <f>IFERROR(__xludf.DUMMYFUNCTION("""COMPUTED_VALUE"""),"Ливонская война 1558-1583 гг.")</f>
        <v>Ливонская война 1558-1583 гг.</v>
      </c>
      <c r="F17" s="1">
        <f>IFERROR(__xludf.DUMMYFUNCTION("""COMPUTED_VALUE"""),216.0)</f>
        <v>216</v>
      </c>
      <c r="G17" s="1" t="str">
        <f>IFERROR(__xludf.DUMMYFUNCTION("""COMPUTED_VALUE"""),"Экономика XVII века")</f>
        <v>Экономика XVII века</v>
      </c>
      <c r="H17" s="1">
        <f>IFERROR(__xludf.DUMMYFUNCTION("""COMPUTED_VALUE"""),316.0)</f>
        <v>316</v>
      </c>
      <c r="I17" s="1" t="str">
        <f>IFERROR(__xludf.DUMMYFUNCTION("""COMPUTED_VALUE"""),"Внутренняя политика Павла")</f>
        <v>Внутренняя политика Павла</v>
      </c>
      <c r="J17" s="1">
        <f>IFERROR(__xludf.DUMMYFUNCTION("""COMPUTED_VALUE"""),416.0)</f>
        <v>416</v>
      </c>
      <c r="K17" s="1" t="str">
        <f>IFERROR(__xludf.DUMMYFUNCTION("""COMPUTED_VALUE"""),"Начало строительства Транссиба")</f>
        <v>Начало строительства Транссиба</v>
      </c>
      <c r="L17" s="1">
        <f>IFERROR(__xludf.DUMMYFUNCTION("""COMPUTED_VALUE"""),516.0)</f>
        <v>516</v>
      </c>
      <c r="M17" s="1" t="str">
        <f>IFERROR(__xludf.DUMMYFUNCTION("""COMPUTED_VALUE"""),"Новая Экономическая Политика 1921-1928")</f>
        <v>Новая Экономическая Политика 1921-1928</v>
      </c>
      <c r="N17" s="1">
        <f>IFERROR(__xludf.DUMMYFUNCTION("""COMPUTED_VALUE"""),616.0)</f>
        <v>616</v>
      </c>
      <c r="O17" s="1" t="str">
        <f>IFERROR(__xludf.DUMMYFUNCTION("""COMPUTED_VALUE"""),"Культура при Хрущеве")</f>
        <v>Культура при Хрущеве</v>
      </c>
      <c r="P17" s="1">
        <f>IFERROR(__xludf.DUMMYFUNCTION("""COMPUTED_VALUE"""),716.0)</f>
        <v>716</v>
      </c>
      <c r="Q17" s="1" t="str">
        <f>IFERROR(__xludf.DUMMYFUNCTION("""COMPUTED_VALUE"""),"Уход Ельцина в отставку")</f>
        <v>Уход Ельцина в отставку</v>
      </c>
      <c r="R17" s="1">
        <f>IFERROR(__xludf.DUMMYFUNCTION("""COMPUTED_VALUE"""),816.0)</f>
        <v>816</v>
      </c>
      <c r="S17" s="1" t="str">
        <f>IFERROR(__xludf.DUMMYFUNCTION("""COMPUTED_VALUE"""),"США в XIX – начале XX в. Гражданская война в США")</f>
        <v>США в XIX – начале XX в. Гражданская война в США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IFERROR(__xludf.DUMMYFUNCTION("""COMPUTED_VALUE"""),"Печенеги")</f>
        <v>Печенеги</v>
      </c>
      <c r="B18" s="1">
        <f>IFERROR(__xludf.DUMMYFUNCTION("""COMPUTED_VALUE"""),17.0)</f>
        <v>17</v>
      </c>
      <c r="C18" s="1" t="str">
        <f>IFERROR(__xludf.DUMMYFUNCTION("""COMPUTED_VALUE"""),"Неврюева рать")</f>
        <v>Неврюева рать</v>
      </c>
      <c r="D18" s="1">
        <f>IFERROR(__xludf.DUMMYFUNCTION("""COMPUTED_VALUE"""),117.0)</f>
        <v>117</v>
      </c>
      <c r="E18" s="1" t="str">
        <f>IFERROR(__xludf.DUMMYFUNCTION("""COMPUTED_VALUE"""),"Введение патриаршества")</f>
        <v>Введение патриаршества</v>
      </c>
      <c r="F18" s="1">
        <f>IFERROR(__xludf.DUMMYFUNCTION("""COMPUTED_VALUE"""),217.0)</f>
        <v>217</v>
      </c>
      <c r="G18" s="1" t="str">
        <f>IFERROR(__xludf.DUMMYFUNCTION("""COMPUTED_VALUE"""),"Виды крестьян в XVII веке")</f>
        <v>Виды крестьян в XVII веке</v>
      </c>
      <c r="H18" s="1">
        <f>IFERROR(__xludf.DUMMYFUNCTION("""COMPUTED_VALUE"""),317.0)</f>
        <v>317</v>
      </c>
      <c r="I18" s="1" t="str">
        <f>IFERROR(__xludf.DUMMYFUNCTION("""COMPUTED_VALUE"""),"Борьба с идеями Французской революции")</f>
        <v>Борьба с идеями Французской революции</v>
      </c>
      <c r="J18" s="1">
        <f>IFERROR(__xludf.DUMMYFUNCTION("""COMPUTED_VALUE"""),417.0)</f>
        <v>417</v>
      </c>
      <c r="K18" s="1" t="str">
        <f>IFERROR(__xludf.DUMMYFUNCTION("""COMPUTED_VALUE"""),"Контрреформы. Культура и образование")</f>
        <v>Контрреформы. Культура и образование</v>
      </c>
      <c r="L18" s="1">
        <f>IFERROR(__xludf.DUMMYFUNCTION("""COMPUTED_VALUE"""),517.0)</f>
        <v>517</v>
      </c>
      <c r="M18" s="1" t="str">
        <f>IFERROR(__xludf.DUMMYFUNCTION("""COMPUTED_VALUE"""),"Образование СССР
")</f>
        <v>Образование СССР
</v>
      </c>
      <c r="N18" s="1">
        <f>IFERROR(__xludf.DUMMYFUNCTION("""COMPUTED_VALUE"""),617.0)</f>
        <v>617</v>
      </c>
      <c r="O18" s="1" t="str">
        <f>IFERROR(__xludf.DUMMYFUNCTION("""COMPUTED_VALUE"""),"Сподвижники Брежнева")</f>
        <v>Сподвижники Брежнева</v>
      </c>
      <c r="P18" s="1">
        <f>IFERROR(__xludf.DUMMYFUNCTION("""COMPUTED_VALUE"""),717.0)</f>
        <v>717</v>
      </c>
      <c r="Q18" s="1" t="str">
        <f>IFERROR(__xludf.DUMMYFUNCTION("""COMPUTED_VALUE"""),"Избрание Путина")</f>
        <v>Избрание Путина</v>
      </c>
      <c r="R18" s="1">
        <f>IFERROR(__xludf.DUMMYFUNCTION("""COMPUTED_VALUE"""),817.0)</f>
        <v>817</v>
      </c>
      <c r="S18" s="1" t="str">
        <f>IFERROR(__xludf.DUMMYFUNCTION("""COMPUTED_VALUE"""),"Борьба за освобождение и образование независимых государств в Латинской Америке в XIX в")</f>
        <v>Борьба за освобождение и образование независимых государств в Латинской Америке в XIX в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IFERROR(__xludf.DUMMYFUNCTION("""COMPUTED_VALUE"""),"Походы на Византию Игоря")</f>
        <v>Походы на Византию Игоря</v>
      </c>
      <c r="B19" s="1">
        <f>IFERROR(__xludf.DUMMYFUNCTION("""COMPUTED_VALUE"""),18.0)</f>
        <v>18</v>
      </c>
      <c r="C19" s="1" t="str">
        <f>IFERROR(__xludf.DUMMYFUNCTION("""COMPUTED_VALUE"""),"Невская битва")</f>
        <v>Невская битва</v>
      </c>
      <c r="D19" s="1">
        <f>IFERROR(__xludf.DUMMYFUNCTION("""COMPUTED_VALUE"""),118.0)</f>
        <v>118</v>
      </c>
      <c r="E19" s="1" t="str">
        <f>IFERROR(__xludf.DUMMYFUNCTION("""COMPUTED_VALUE"""),"Урочные лета")</f>
        <v>Урочные лета</v>
      </c>
      <c r="F19" s="1">
        <f>IFERROR(__xludf.DUMMYFUNCTION("""COMPUTED_VALUE"""),218.0)</f>
        <v>218</v>
      </c>
      <c r="G19" s="1" t="str">
        <f>IFERROR(__xludf.DUMMYFUNCTION("""COMPUTED_VALUE"""),"Этапы закрепощения крестьян")</f>
        <v>Этапы закрепощения крестьян</v>
      </c>
      <c r="H19" s="1">
        <f>IFERROR(__xludf.DUMMYFUNCTION("""COMPUTED_VALUE"""),318.0)</f>
        <v>318</v>
      </c>
      <c r="I19" s="1" t="str">
        <f>IFERROR(__xludf.DUMMYFUNCTION("""COMPUTED_VALUE"""),"Военные изменения Павла")</f>
        <v>Военные изменения Павла</v>
      </c>
      <c r="J19" s="1">
        <f>IFERROR(__xludf.DUMMYFUNCTION("""COMPUTED_VALUE"""),418.0)</f>
        <v>418</v>
      </c>
      <c r="K19" s="1" t="str">
        <f>IFERROR(__xludf.DUMMYFUNCTION("""COMPUTED_VALUE"""),"Контрреформы. Самоуправление")</f>
        <v>Контрреформы. Самоуправление</v>
      </c>
      <c r="L19" s="1">
        <f>IFERROR(__xludf.DUMMYFUNCTION("""COMPUTED_VALUE"""),518.0)</f>
        <v>518</v>
      </c>
      <c r="M19" s="1" t="str">
        <f>IFERROR(__xludf.DUMMYFUNCTION("""COMPUTED_VALUE"""),"Конституция 1924 г.")</f>
        <v>Конституция 1924 г.</v>
      </c>
      <c r="N19" s="1">
        <f>IFERROR(__xludf.DUMMYFUNCTION("""COMPUTED_VALUE"""),618.0)</f>
        <v>618</v>
      </c>
      <c r="O19" s="1" t="str">
        <f>IFERROR(__xludf.DUMMYFUNCTION("""COMPUTED_VALUE"""),"Причины «застоя»")</f>
        <v>Причины «застоя»</v>
      </c>
      <c r="P19" s="1">
        <f>IFERROR(__xludf.DUMMYFUNCTION("""COMPUTED_VALUE"""),718.0)</f>
        <v>718</v>
      </c>
      <c r="Q19" s="1" t="str">
        <f>IFERROR(__xludf.DUMMYFUNCTION("""COMPUTED_VALUE"""),"Личность и становление Путина")</f>
        <v>Личность и становление Путина</v>
      </c>
      <c r="R19" s="1">
        <f>IFERROR(__xludf.DUMMYFUNCTION("""COMPUTED_VALUE"""),818.0)</f>
        <v>818</v>
      </c>
      <c r="S19" s="1" t="str">
        <f>IFERROR(__xludf.DUMMYFUNCTION("""COMPUTED_VALUE"""),"Политическое и социально-экономическое развитие Османской империи, Индии, Китая, Японии в XIX – начале XX в")</f>
        <v>Политическое и социально-экономическое развитие Османской империи, Индии, Китая, Японии в XIX – начале XX в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IFERROR(__xludf.DUMMYFUNCTION("""COMPUTED_VALUE"""),"Восстание древлян. Месть древлянам")</f>
        <v>Восстание древлян. Месть древлянам</v>
      </c>
      <c r="B20" s="1">
        <f>IFERROR(__xludf.DUMMYFUNCTION("""COMPUTED_VALUE"""),19.0)</f>
        <v>19</v>
      </c>
      <c r="C20" s="1" t="str">
        <f>IFERROR(__xludf.DUMMYFUNCTION("""COMPUTED_VALUE"""),"Ледовое побоище")</f>
        <v>Ледовое побоище</v>
      </c>
      <c r="D20" s="1">
        <f>IFERROR(__xludf.DUMMYFUNCTION("""COMPUTED_VALUE"""),119.0)</f>
        <v>119</v>
      </c>
      <c r="E20" s="1" t="str">
        <f>IFERROR(__xludf.DUMMYFUNCTION("""COMPUTED_VALUE"""),"Тявзинский мир")</f>
        <v>Тявзинский мир</v>
      </c>
      <c r="F20" s="1">
        <f>IFERROR(__xludf.DUMMYFUNCTION("""COMPUTED_VALUE"""),219.0)</f>
        <v>219</v>
      </c>
      <c r="G20" s="1" t="str">
        <f>IFERROR(__xludf.DUMMYFUNCTION("""COMPUTED_VALUE"""),"Особенности культуры 17 века")</f>
        <v>Особенности культуры 17 века</v>
      </c>
      <c r="H20" s="1">
        <f>IFERROR(__xludf.DUMMYFUNCTION("""COMPUTED_VALUE"""),319.0)</f>
        <v>319</v>
      </c>
      <c r="I20" s="1" t="str">
        <f>IFERROR(__xludf.DUMMYFUNCTION("""COMPUTED_VALUE"""),"Изменение принципа престолонаследия Павлом")</f>
        <v>Изменение принципа престолонаследия Павлом</v>
      </c>
      <c r="J20" s="1">
        <f>IFERROR(__xludf.DUMMYFUNCTION("""COMPUTED_VALUE"""),419.0)</f>
        <v>419</v>
      </c>
      <c r="K20" s="1" t="str">
        <f>IFERROR(__xludf.DUMMYFUNCTION("""COMPUTED_VALUE"""),"Реформы суда Александра III")</f>
        <v>Реформы суда Александра III</v>
      </c>
      <c r="L20" s="1">
        <f>IFERROR(__xludf.DUMMYFUNCTION("""COMPUTED_VALUE"""),519.0)</f>
        <v>519</v>
      </c>
      <c r="M20" s="1" t="str">
        <f>IFERROR(__xludf.DUMMYFUNCTION("""COMPUTED_VALUE"""),"«Письма к съезду»")</f>
        <v>«Письма к съезду»</v>
      </c>
      <c r="N20" s="1">
        <f>IFERROR(__xludf.DUMMYFUNCTION("""COMPUTED_VALUE"""),619.0)</f>
        <v>619</v>
      </c>
      <c r="O20" s="1" t="str">
        <f>IFERROR(__xludf.DUMMYFUNCTION("""COMPUTED_VALUE"""),"«Культ без личности»")</f>
        <v>«Культ без личности»</v>
      </c>
      <c r="P20" s="1">
        <f>IFERROR(__xludf.DUMMYFUNCTION("""COMPUTED_VALUE"""),719.0)</f>
        <v>719</v>
      </c>
      <c r="Q20" s="1" t="str">
        <f>IFERROR(__xludf.DUMMYFUNCTION("""COMPUTED_VALUE"""),"Единая Россия")</f>
        <v>Единая Россия</v>
      </c>
      <c r="R20" s="1">
        <f>IFERROR(__xludf.DUMMYFUNCTION("""COMPUTED_VALUE"""),819.0)</f>
        <v>819</v>
      </c>
      <c r="S20" s="1" t="str">
        <f>IFERROR(__xludf.DUMMYFUNCTION("""COMPUTED_VALUE"""),"Антиколониальные движения")</f>
        <v>Антиколониальные движения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IFERROR(__xludf.DUMMYFUNCTION("""COMPUTED_VALUE"""),"Налоговая реформа Ольги")</f>
        <v>Налоговая реформа Ольги</v>
      </c>
      <c r="B21" s="1">
        <f>IFERROR(__xludf.DUMMYFUNCTION("""COMPUTED_VALUE"""),20.0)</f>
        <v>20</v>
      </c>
      <c r="C21" s="1" t="str">
        <f>IFERROR(__xludf.DUMMYFUNCTION("""COMPUTED_VALUE"""),"Образование Золотой Орды")</f>
        <v>Образование Золотой Орды</v>
      </c>
      <c r="D21" s="1">
        <f>IFERROR(__xludf.DUMMYFUNCTION("""COMPUTED_VALUE"""),120.0)</f>
        <v>120</v>
      </c>
      <c r="E21" s="1" t="str">
        <f>IFERROR(__xludf.DUMMYFUNCTION("""COMPUTED_VALUE"""),"Причины смуты")</f>
        <v>Причины смуты</v>
      </c>
      <c r="F21" s="1">
        <f>IFERROR(__xludf.DUMMYFUNCTION("""COMPUTED_VALUE"""),220.0)</f>
        <v>220</v>
      </c>
      <c r="G21" s="1" t="str">
        <f>IFERROR(__xludf.DUMMYFUNCTION("""COMPUTED_VALUE"""),"Литература 17 века")</f>
        <v>Литература 17 века</v>
      </c>
      <c r="H21" s="1">
        <f>IFERROR(__xludf.DUMMYFUNCTION("""COMPUTED_VALUE"""),320.0)</f>
        <v>320</v>
      </c>
      <c r="I21" s="1" t="str">
        <f>IFERROR(__xludf.DUMMYFUNCTION("""COMPUTED_VALUE"""),"Крестьянский вопрос при Павле")</f>
        <v>Крестьянский вопрос при Павле</v>
      </c>
      <c r="J21" s="1">
        <f>IFERROR(__xludf.DUMMYFUNCTION("""COMPUTED_VALUE"""),420.0)</f>
        <v>420</v>
      </c>
      <c r="K21" s="1" t="str">
        <f>IFERROR(__xludf.DUMMYFUNCTION("""COMPUTED_VALUE"""),"Крестьянский вопрос при Александре III")</f>
        <v>Крестьянский вопрос при Александре III</v>
      </c>
      <c r="L21" s="1">
        <f>IFERROR(__xludf.DUMMYFUNCTION("""COMPUTED_VALUE"""),520.0)</f>
        <v>520</v>
      </c>
      <c r="M21" s="1" t="str">
        <f>IFERROR(__xludf.DUMMYFUNCTION("""COMPUTED_VALUE"""),"Внутрипартийная борьба за власть")</f>
        <v>Внутрипартийная борьба за власть</v>
      </c>
      <c r="N21" s="1">
        <f>IFERROR(__xludf.DUMMYFUNCTION("""COMPUTED_VALUE"""),620.0)</f>
        <v>620</v>
      </c>
      <c r="O21" s="1" t="str">
        <f>IFERROR(__xludf.DUMMYFUNCTION("""COMPUTED_VALUE"""),"Номенклатура")</f>
        <v>Номенклатура</v>
      </c>
      <c r="P21" s="1">
        <f>IFERROR(__xludf.DUMMYFUNCTION("""COMPUTED_VALUE"""),720.0)</f>
        <v>720</v>
      </c>
      <c r="Q21" s="1" t="str">
        <f>IFERROR(__xludf.DUMMYFUNCTION("""COMPUTED_VALUE"""),"Теракты")</f>
        <v>Теракты</v>
      </c>
      <c r="R21" s="1">
        <f>IFERROR(__xludf.DUMMYFUNCTION("""COMPUTED_VALUE"""),820.0)</f>
        <v>820</v>
      </c>
      <c r="S21" s="1" t="str">
        <f>IFERROR(__xludf.DUMMYFUNCTION("""COMPUTED_VALUE"""),"Мир накануне Первой мировой войны")</f>
        <v>Мир накануне Первой мировой войны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IFERROR(__xludf.DUMMYFUNCTION("""COMPUTED_VALUE"""),"Крещение Ольги")</f>
        <v>Крещение Ольги</v>
      </c>
      <c r="B22" s="1">
        <f>IFERROR(__xludf.DUMMYFUNCTION("""COMPUTED_VALUE"""),21.0)</f>
        <v>21</v>
      </c>
      <c r="C22" s="1" t="str">
        <f>IFERROR(__xludf.DUMMYFUNCTION("""COMPUTED_VALUE"""),"Ордынское иго на Руси")</f>
        <v>Ордынское иго на Руси</v>
      </c>
      <c r="D22" s="1">
        <f>IFERROR(__xludf.DUMMYFUNCTION("""COMPUTED_VALUE"""),121.0)</f>
        <v>121</v>
      </c>
      <c r="E22" s="1" t="str">
        <f>IFERROR(__xludf.DUMMYFUNCTION("""COMPUTED_VALUE"""),"Избрание Годунова")</f>
        <v>Избрание Годунова</v>
      </c>
      <c r="F22" s="1">
        <f>IFERROR(__xludf.DUMMYFUNCTION("""COMPUTED_VALUE"""),221.0)</f>
        <v>221</v>
      </c>
      <c r="G22" s="1" t="str">
        <f>IFERROR(__xludf.DUMMYFUNCTION("""COMPUTED_VALUE"""),"Архитектура 17 века")</f>
        <v>Архитектура 17 века</v>
      </c>
      <c r="H22" s="1">
        <f>IFERROR(__xludf.DUMMYFUNCTION("""COMPUTED_VALUE"""),321.0)</f>
        <v>321</v>
      </c>
      <c r="I22" s="1" t="str">
        <f>IFERROR(__xludf.DUMMYFUNCTION("""COMPUTED_VALUE"""),"Антидворянская политика")</f>
        <v>Антидворянская политика</v>
      </c>
      <c r="J22" s="1">
        <f>IFERROR(__xludf.DUMMYFUNCTION("""COMPUTED_VALUE"""),421.0)</f>
        <v>421</v>
      </c>
      <c r="K22" s="1" t="str">
        <f>IFERROR(__xludf.DUMMYFUNCTION("""COMPUTED_VALUE"""),"Рабочий вопрос при Александре III")</f>
        <v>Рабочий вопрос при Александре III</v>
      </c>
      <c r="L22" s="1">
        <f>IFERROR(__xludf.DUMMYFUNCTION("""COMPUTED_VALUE"""),521.0)</f>
        <v>521</v>
      </c>
      <c r="M22" s="1" t="str">
        <f>IFERROR(__xludf.DUMMYFUNCTION("""COMPUTED_VALUE"""),"Внешняя политика 1920-х")</f>
        <v>Внешняя политика 1920-х</v>
      </c>
      <c r="N22" s="1">
        <f>IFERROR(__xludf.DUMMYFUNCTION("""COMPUTED_VALUE"""),621.0)</f>
        <v>621</v>
      </c>
      <c r="O22" s="1" t="str">
        <f>IFERROR(__xludf.DUMMYFUNCTION("""COMPUTED_VALUE"""),"Развитой социализм")</f>
        <v>Развитой социализм</v>
      </c>
      <c r="P22" s="1">
        <f>IFERROR(__xludf.DUMMYFUNCTION("""COMPUTED_VALUE"""),721.0)</f>
        <v>721</v>
      </c>
      <c r="Q22" s="1" t="str">
        <f>IFERROR(__xludf.DUMMYFUNCTION("""COMPUTED_VALUE"""),"Политика 2000х")</f>
        <v>Политика 2000х</v>
      </c>
      <c r="R22" s="1">
        <f>IFERROR(__xludf.DUMMYFUNCTION("""COMPUTED_VALUE"""),821.0)</f>
        <v>821</v>
      </c>
      <c r="S22" s="1" t="str">
        <f>IFERROR(__xludf.DUMMYFUNCTION("""COMPUTED_VALUE"""),"Первая мировая война: причины, состав участников, основные этапы и события, итоги")</f>
        <v>Первая мировая война: причины, состав участников, основные этапы и события, итоги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IFERROR(__xludf.DUMMYFUNCTION("""COMPUTED_VALUE"""),"Осада печенегами Киева")</f>
        <v>Осада печенегами Киева</v>
      </c>
      <c r="B23" s="1">
        <f>IFERROR(__xludf.DUMMYFUNCTION("""COMPUTED_VALUE"""),22.0)</f>
        <v>22</v>
      </c>
      <c r="C23" s="1" t="str">
        <f>IFERROR(__xludf.DUMMYFUNCTION("""COMPUTED_VALUE"""),"Русь и Литва")</f>
        <v>Русь и Литва</v>
      </c>
      <c r="D23" s="1">
        <f>IFERROR(__xludf.DUMMYFUNCTION("""COMPUTED_VALUE"""),122.0)</f>
        <v>122</v>
      </c>
      <c r="E23" s="1" t="str">
        <f>IFERROR(__xludf.DUMMYFUNCTION("""COMPUTED_VALUE"""),"Борис Годунов")</f>
        <v>Борис Годунов</v>
      </c>
      <c r="F23" s="1">
        <f>IFERROR(__xludf.DUMMYFUNCTION("""COMPUTED_VALUE"""),222.0)</f>
        <v>222</v>
      </c>
      <c r="G23" s="1" t="str">
        <f>IFERROR(__xludf.DUMMYFUNCTION("""COMPUTED_VALUE"""),"Образование 17 века")</f>
        <v>Образование 17 века</v>
      </c>
      <c r="H23" s="1">
        <f>IFERROR(__xludf.DUMMYFUNCTION("""COMPUTED_VALUE"""),322.0)</f>
        <v>322</v>
      </c>
      <c r="I23" s="1" t="str">
        <f>IFERROR(__xludf.DUMMYFUNCTION("""COMPUTED_VALUE"""),"Внешняя политика Павла")</f>
        <v>Внешняя политика Павла</v>
      </c>
      <c r="J23" s="1">
        <f>IFERROR(__xludf.DUMMYFUNCTION("""COMPUTED_VALUE"""),422.0)</f>
        <v>422</v>
      </c>
      <c r="K23" s="1" t="str">
        <f>IFERROR(__xludf.DUMMYFUNCTION("""COMPUTED_VALUE"""),"Внешняя политика Александра III")</f>
        <v>Внешняя политика Александра III</v>
      </c>
      <c r="L23" s="1">
        <f>IFERROR(__xludf.DUMMYFUNCTION("""COMPUTED_VALUE"""),522.0)</f>
        <v>522</v>
      </c>
      <c r="M23" s="1" t="str">
        <f>IFERROR(__xludf.DUMMYFUNCTION("""COMPUTED_VALUE"""),"Наркомы иностранных дел ")</f>
        <v>Наркомы иностранных дел </v>
      </c>
      <c r="N23" s="1">
        <f>IFERROR(__xludf.DUMMYFUNCTION("""COMPUTED_VALUE"""),622.0)</f>
        <v>622</v>
      </c>
      <c r="O23" s="1" t="str">
        <f>IFERROR(__xludf.DUMMYFUNCTION("""COMPUTED_VALUE"""),"Последствия принятия Конституции")</f>
        <v>Последствия принятия Конституции</v>
      </c>
      <c r="P23" s="1">
        <f>IFERROR(__xludf.DUMMYFUNCTION("""COMPUTED_VALUE"""),722.0)</f>
        <v>722</v>
      </c>
      <c r="Q23" s="1" t="str">
        <f>IFERROR(__xludf.DUMMYFUNCTION("""COMPUTED_VALUE"""),"Укрепление вертикали власти при Путине")</f>
        <v>Укрепление вертикали власти при Путине</v>
      </c>
      <c r="R23" s="1">
        <f>IFERROR(__xludf.DUMMYFUNCTION("""COMPUTED_VALUE"""),822.0)</f>
        <v>822</v>
      </c>
      <c r="S23" s="1" t="str">
        <f>IFERROR(__xludf.DUMMYFUNCTION("""COMPUTED_VALUE"""),"Революционная волна после Первой мировой войны. Версальско-Вашингтонская система")</f>
        <v>Революционная волна после Первой мировой войны. Версальско-Вашингтонская система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IFERROR(__xludf.DUMMYFUNCTION("""COMPUTED_VALUE"""),"Походы Святослава на Волжскую Булгарию")</f>
        <v>Походы Святослава на Волжскую Булгарию</v>
      </c>
      <c r="B24" s="1">
        <f>IFERROR(__xludf.DUMMYFUNCTION("""COMPUTED_VALUE"""),23.0)</f>
        <v>23</v>
      </c>
      <c r="C24" s="1" t="str">
        <f>IFERROR(__xludf.DUMMYFUNCTION("""COMPUTED_VALUE"""),"Образование Литвы. Союзы Польши и Литвы")</f>
        <v>Образование Литвы. Союзы Польши и Литвы</v>
      </c>
      <c r="D24" s="1">
        <f>IFERROR(__xludf.DUMMYFUNCTION("""COMPUTED_VALUE"""),123.0)</f>
        <v>123</v>
      </c>
      <c r="E24" s="1" t="str">
        <f>IFERROR(__xludf.DUMMYFUNCTION("""COMPUTED_VALUE"""),"Восстание Хлопка")</f>
        <v>Восстание Хлопка</v>
      </c>
      <c r="F24" s="1">
        <f>IFERROR(__xludf.DUMMYFUNCTION("""COMPUTED_VALUE"""),223.0)</f>
        <v>223</v>
      </c>
      <c r="G24" s="1" t="str">
        <f>IFERROR(__xludf.DUMMYFUNCTION("""COMPUTED_VALUE"""),"Живопись 17 века")</f>
        <v>Живопись 17 века</v>
      </c>
      <c r="H24" s="1">
        <f>IFERROR(__xludf.DUMMYFUNCTION("""COMPUTED_VALUE"""),323.0)</f>
        <v>323</v>
      </c>
      <c r="I24" s="1" t="str">
        <f>IFERROR(__xludf.DUMMYFUNCTION("""COMPUTED_VALUE"""),"Убийство Павла. Причины заговора 1801 г.")</f>
        <v>Убийство Павла. Причины заговора 1801 г.</v>
      </c>
      <c r="J24" s="1">
        <f>IFERROR(__xludf.DUMMYFUNCTION("""COMPUTED_VALUE"""),423.0)</f>
        <v>423</v>
      </c>
      <c r="K24" s="1" t="str">
        <f>IFERROR(__xludf.DUMMYFUNCTION("""COMPUTED_VALUE"""),"Противостояние с Австрией, Германией")</f>
        <v>Противостояние с Австрией, Германией</v>
      </c>
      <c r="L24" s="1">
        <f>IFERROR(__xludf.DUMMYFUNCTION("""COMPUTED_VALUE"""),523.0)</f>
        <v>523</v>
      </c>
      <c r="M24" s="1" t="str">
        <f>IFERROR(__xludf.DUMMYFUNCTION("""COMPUTED_VALUE"""),"Коминтерн")</f>
        <v>Коминтерн</v>
      </c>
      <c r="N24" s="1">
        <f>IFERROR(__xludf.DUMMYFUNCTION("""COMPUTED_VALUE"""),623.0)</f>
        <v>623</v>
      </c>
      <c r="O24" s="1" t="str">
        <f>IFERROR(__xludf.DUMMYFUNCTION("""COMPUTED_VALUE"""),"Экономика при Брежневе")</f>
        <v>Экономика при Брежневе</v>
      </c>
      <c r="P24" s="1">
        <f>IFERROR(__xludf.DUMMYFUNCTION("""COMPUTED_VALUE"""),723.0)</f>
        <v>723</v>
      </c>
      <c r="Q24" s="1" t="str">
        <f>IFERROR(__xludf.DUMMYFUNCTION("""COMPUTED_VALUE"""),"Экономика при Путине")</f>
        <v>Экономика при Путине</v>
      </c>
      <c r="R24" s="1">
        <f>IFERROR(__xludf.DUMMYFUNCTION("""COMPUTED_VALUE"""),823.0)</f>
        <v>823</v>
      </c>
      <c r="S24" s="1" t="str">
        <f>IFERROR(__xludf.DUMMYFUNCTION("""COMPUTED_VALUE"""),"Страны Запада в 1920-е гг")</f>
        <v>Страны Запада в 1920-е гг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IFERROR(__xludf.DUMMYFUNCTION("""COMPUTED_VALUE"""),"Разгром Хазарского каганата")</f>
        <v>Разгром Хазарского каганата</v>
      </c>
      <c r="B25" s="1">
        <f>IFERROR(__xludf.DUMMYFUNCTION("""COMPUTED_VALUE"""),24.0)</f>
        <v>24</v>
      </c>
      <c r="C25" s="1" t="str">
        <f>IFERROR(__xludf.DUMMYFUNCTION("""COMPUTED_VALUE"""),"Причины Возвышения Москвы")</f>
        <v>Причины Возвышения Москвы</v>
      </c>
      <c r="D25" s="1">
        <f>IFERROR(__xludf.DUMMYFUNCTION("""COMPUTED_VALUE"""),124.0)</f>
        <v>124</v>
      </c>
      <c r="E25" s="1" t="str">
        <f>IFERROR(__xludf.DUMMYFUNCTION("""COMPUTED_VALUE"""),"Борьба с Лжедмитрием")</f>
        <v>Борьба с Лжедмитрием</v>
      </c>
      <c r="F25" s="1">
        <f>IFERROR(__xludf.DUMMYFUNCTION("""COMPUTED_VALUE"""),224.0)</f>
        <v>224</v>
      </c>
      <c r="G25" s="1" t="str">
        <f>IFERROR(__xludf.DUMMYFUNCTION("""COMPUTED_VALUE"""),"Внутренняя политика Софьи Алексеевны")</f>
        <v>Внутренняя политика Софьи Алексеевны</v>
      </c>
      <c r="H25" s="1">
        <f>IFERROR(__xludf.DUMMYFUNCTION("""COMPUTED_VALUE"""),324.0)</f>
        <v>324</v>
      </c>
      <c r="I25" s="1" t="str">
        <f>IFERROR(__xludf.DUMMYFUNCTION("""COMPUTED_VALUE"""),"Особенности культуры 18 века")</f>
        <v>Особенности культуры 18 века</v>
      </c>
      <c r="J25" s="1">
        <f>IFERROR(__xludf.DUMMYFUNCTION("""COMPUTED_VALUE"""),424.0)</f>
        <v>424</v>
      </c>
      <c r="K25" s="1" t="str">
        <f>IFERROR(__xludf.DUMMYFUNCTION("""COMPUTED_VALUE"""),"Присоединение Средней
 Азии")</f>
        <v>Присоединение Средней
 Азии</v>
      </c>
      <c r="L25" s="1">
        <f>IFERROR(__xludf.DUMMYFUNCTION("""COMPUTED_VALUE"""),524.0)</f>
        <v>524</v>
      </c>
      <c r="M25" s="1" t="str">
        <f>IFERROR(__xludf.DUMMYFUNCTION("""COMPUTED_VALUE"""),"Полоса признания")</f>
        <v>Полоса признания</v>
      </c>
      <c r="N25" s="1">
        <f>IFERROR(__xludf.DUMMYFUNCTION("""COMPUTED_VALUE"""),624.0)</f>
        <v>624</v>
      </c>
      <c r="O25" s="1" t="str">
        <f>IFERROR(__xludf.DUMMYFUNCTION("""COMPUTED_VALUE"""),"Экономическая реформа Косыгина")</f>
        <v>Экономическая реформа Косыгина</v>
      </c>
      <c r="P25" s="1">
        <f>IFERROR(__xludf.DUMMYFUNCTION("""COMPUTED_VALUE"""),724.0)</f>
        <v>724</v>
      </c>
      <c r="Q25" s="1" t="str">
        <f>IFERROR(__xludf.DUMMYFUNCTION("""COMPUTED_VALUE"""),"Итог политики 2000х")</f>
        <v>Итог политики 2000х</v>
      </c>
      <c r="R25" s="1">
        <f>IFERROR(__xludf.DUMMYFUNCTION("""COMPUTED_VALUE"""),824.0)</f>
        <v>824</v>
      </c>
      <c r="S25" s="1" t="str">
        <f>IFERROR(__xludf.DUMMYFUNCTION("""COMPUTED_VALUE"""),"Фашизм. Итальянский фашизм")</f>
        <v>Фашизм. Итальянский фашизм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IFERROR(__xludf.DUMMYFUNCTION("""COMPUTED_VALUE"""),"Походы на Болгарское царство")</f>
        <v>Походы на Болгарское царство</v>
      </c>
      <c r="B26" s="1">
        <f>IFERROR(__xludf.DUMMYFUNCTION("""COMPUTED_VALUE"""),25.0)</f>
        <v>25</v>
      </c>
      <c r="C26" s="1" t="str">
        <f>IFERROR(__xludf.DUMMYFUNCTION("""COMPUTED_VALUE"""),"Княжение Даниила Александровича. Присоединение: Коломны, Переяславля, Можайска")</f>
        <v>Княжение Даниила Александровича. Присоединение: Коломны, Переяславля, Можайска</v>
      </c>
      <c r="D26" s="1">
        <f>IFERROR(__xludf.DUMMYFUNCTION("""COMPUTED_VALUE"""),125.0)</f>
        <v>125</v>
      </c>
      <c r="E26" s="1" t="str">
        <f>IFERROR(__xludf.DUMMYFUNCTION("""COMPUTED_VALUE"""),"Федор Борисович")</f>
        <v>Федор Борисович</v>
      </c>
      <c r="F26" s="1">
        <f>IFERROR(__xludf.DUMMYFUNCTION("""COMPUTED_VALUE"""),225.0)</f>
        <v>225</v>
      </c>
      <c r="G26" s="1" t="str">
        <f>IFERROR(__xludf.DUMMYFUNCTION("""COMPUTED_VALUE"""),"Хованщина")</f>
        <v>Хованщина</v>
      </c>
      <c r="H26" s="1">
        <f>IFERROR(__xludf.DUMMYFUNCTION("""COMPUTED_VALUE"""),325.0)</f>
        <v>325</v>
      </c>
      <c r="I26" s="1" t="str">
        <f>IFERROR(__xludf.DUMMYFUNCTION("""COMPUTED_VALUE"""),"Литература 18 века")</f>
        <v>Литература 18 века</v>
      </c>
      <c r="J26" s="1">
        <f>IFERROR(__xludf.DUMMYFUNCTION("""COMPUTED_VALUE"""),425.0)</f>
        <v>425</v>
      </c>
      <c r="K26" s="1" t="str">
        <f>IFERROR(__xludf.DUMMYFUNCTION("""COMPUTED_VALUE"""),"Общественное движение")</f>
        <v>Общественное движение</v>
      </c>
      <c r="L26" s="1">
        <f>IFERROR(__xludf.DUMMYFUNCTION("""COMPUTED_VALUE"""),525.0)</f>
        <v>525</v>
      </c>
      <c r="M26" s="1" t="str">
        <f>IFERROR(__xludf.DUMMYFUNCTION("""COMPUTED_VALUE"""),"Индустриализация")</f>
        <v>Индустриализация</v>
      </c>
      <c r="N26" s="1">
        <f>IFERROR(__xludf.DUMMYFUNCTION("""COMPUTED_VALUE"""),625.0)</f>
        <v>625</v>
      </c>
      <c r="O26" s="1" t="str">
        <f>IFERROR(__xludf.DUMMYFUNCTION("""COMPUTED_VALUE"""),"Причины реформы 1965 года")</f>
        <v>Причины реформы 1965 года</v>
      </c>
      <c r="P26" s="1">
        <f>IFERROR(__xludf.DUMMYFUNCTION("""COMPUTED_VALUE"""),725.0)</f>
        <v>725</v>
      </c>
      <c r="Q26" s="1" t="str">
        <f>IFERROR(__xludf.DUMMYFUNCTION("""COMPUTED_VALUE"""),"Эпоха тандема")</f>
        <v>Эпоха тандема</v>
      </c>
      <c r="R26" s="1">
        <f>IFERROR(__xludf.DUMMYFUNCTION("""COMPUTED_VALUE"""),825.0)</f>
        <v>825</v>
      </c>
      <c r="S26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IFERROR(__xludf.DUMMYFUNCTION("""COMPUTED_VALUE"""),"Усобица: Ярополк, Олег, Владимир")</f>
        <v>Усобица: Ярополк, Олег, Владимир</v>
      </c>
      <c r="B27" s="1">
        <f>IFERROR(__xludf.DUMMYFUNCTION("""COMPUTED_VALUE"""),26.0)</f>
        <v>26</v>
      </c>
      <c r="C27" s="1" t="str">
        <f>IFERROR(__xludf.DUMMYFUNCTION("""COMPUTED_VALUE"""),"Союз с церковью Юрия Даниловича")</f>
        <v>Союз с церковью Юрия Даниловича</v>
      </c>
      <c r="D27" s="1">
        <f>IFERROR(__xludf.DUMMYFUNCTION("""COMPUTED_VALUE"""),126.0)</f>
        <v>126</v>
      </c>
      <c r="E27" s="1" t="str">
        <f>IFERROR(__xludf.DUMMYFUNCTION("""COMPUTED_VALUE"""),"Битва при Кромах")</f>
        <v>Битва при Кромах</v>
      </c>
      <c r="F27" s="1">
        <f>IFERROR(__xludf.DUMMYFUNCTION("""COMPUTED_VALUE"""),226.0)</f>
        <v>226</v>
      </c>
      <c r="G27" s="1" t="str">
        <f>IFERROR(__xludf.DUMMYFUNCTION("""COMPUTED_VALUE"""),"Внешняя политика Софьи")</f>
        <v>Внешняя политика Софьи</v>
      </c>
      <c r="H27" s="1">
        <f>IFERROR(__xludf.DUMMYFUNCTION("""COMPUTED_VALUE"""),326.0)</f>
        <v>326</v>
      </c>
      <c r="I27" s="1" t="str">
        <f>IFERROR(__xludf.DUMMYFUNCTION("""COMPUTED_VALUE"""),"Архитектура 18 века")</f>
        <v>Архитектура 18 века</v>
      </c>
      <c r="J27" s="1">
        <f>IFERROR(__xludf.DUMMYFUNCTION("""COMPUTED_VALUE"""),426.0)</f>
        <v>426</v>
      </c>
      <c r="K27" s="1" t="str">
        <f>IFERROR(__xludf.DUMMYFUNCTION("""COMPUTED_VALUE"""),"Экономика при Николае II")</f>
        <v>Экономика при Николае II</v>
      </c>
      <c r="L27" s="1">
        <f>IFERROR(__xludf.DUMMYFUNCTION("""COMPUTED_VALUE"""),526.0)</f>
        <v>526</v>
      </c>
      <c r="M27" s="1" t="str">
        <f>IFERROR(__xludf.DUMMYFUNCTION("""COMPUTED_VALUE"""),"Цели и особенности индустриализации")</f>
        <v>Цели и особенности индустриализации</v>
      </c>
      <c r="N27" s="1">
        <f>IFERROR(__xludf.DUMMYFUNCTION("""COMPUTED_VALUE"""),626.0)</f>
        <v>626</v>
      </c>
      <c r="O27" s="1" t="str">
        <f>IFERROR(__xludf.DUMMYFUNCTION("""COMPUTED_VALUE"""),"Реформа в сельском хозяйстве, промышленности")</f>
        <v>Реформа в сельском хозяйстве, промышленности</v>
      </c>
      <c r="P27" s="1">
        <f>IFERROR(__xludf.DUMMYFUNCTION("""COMPUTED_VALUE"""),726.0)</f>
        <v>726</v>
      </c>
      <c r="Q27" s="1" t="str">
        <f>IFERROR(__xludf.DUMMYFUNCTION("""COMPUTED_VALUE"""),"Третий президентский срок Путина")</f>
        <v>Третий президентский срок Путина</v>
      </c>
      <c r="R27" s="1">
        <f>IFERROR(__xludf.DUMMYFUNCTION("""COMPUTED_VALUE"""),826.0)</f>
        <v>826</v>
      </c>
      <c r="S27" s="1" t="str">
        <f>IFERROR(__xludf.DUMMYFUNCTION("""COMPUTED_VALUE"""),"Великая депрессия и альтернативные пути выхода из мирового кризиса")</f>
        <v>Великая депрессия и альтернативные пути выхода из мирового кризиса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IFERROR(__xludf.DUMMYFUNCTION("""COMPUTED_VALUE"""),"Крещение Владимира. Крещение Руси")</f>
        <v>Крещение Владимира. Крещение Руси</v>
      </c>
      <c r="B28" s="1">
        <f>IFERROR(__xludf.DUMMYFUNCTION("""COMPUTED_VALUE"""),27.0)</f>
        <v>27</v>
      </c>
      <c r="C28" s="1" t="str">
        <f>IFERROR(__xludf.DUMMYFUNCTION("""COMPUTED_VALUE"""),"Борьба с Тверью. Карательный поход на Тверь. Получение права сбора дани")</f>
        <v>Борьба с Тверью. Карательный поход на Тверь. Получение права сбора дани</v>
      </c>
      <c r="D28" s="1">
        <f>IFERROR(__xludf.DUMMYFUNCTION("""COMPUTED_VALUE"""),127.0)</f>
        <v>127</v>
      </c>
      <c r="E28" s="1" t="str">
        <f>IFERROR(__xludf.DUMMYFUNCTION("""COMPUTED_VALUE"""),"Лжедмитрий 1. Личность Григория Отрепьева")</f>
        <v>Лжедмитрий 1. Личность Григория Отрепьева</v>
      </c>
      <c r="F28" s="1">
        <f>IFERROR(__xludf.DUMMYFUNCTION("""COMPUTED_VALUE"""),227.0)</f>
        <v>227</v>
      </c>
      <c r="G28" s="1" t="str">
        <f>IFERROR(__xludf.DUMMYFUNCTION("""COMPUTED_VALUE"""),"Детство Петра 1")</f>
        <v>Детство Петра 1</v>
      </c>
      <c r="H28" s="1">
        <f>IFERROR(__xludf.DUMMYFUNCTION("""COMPUTED_VALUE"""),327.0)</f>
        <v>327</v>
      </c>
      <c r="I28" s="1" t="str">
        <f>IFERROR(__xludf.DUMMYFUNCTION("""COMPUTED_VALUE"""),"Наука 18 века")</f>
        <v>Наука 18 века</v>
      </c>
      <c r="J28" s="1">
        <f>IFERROR(__xludf.DUMMYFUNCTION("""COMPUTED_VALUE"""),427.0)</f>
        <v>427</v>
      </c>
      <c r="K28" s="1" t="str">
        <f>IFERROR(__xludf.DUMMYFUNCTION("""COMPUTED_VALUE"""),"Мировой экономический кризис")</f>
        <v>Мировой экономический кризис</v>
      </c>
      <c r="L28" s="1">
        <f>IFERROR(__xludf.DUMMYFUNCTION("""COMPUTED_VALUE"""),527.0)</f>
        <v>527</v>
      </c>
      <c r="M28" s="1" t="str">
        <f>IFERROR(__xludf.DUMMYFUNCTION("""COMPUTED_VALUE"""),"Первая пятилетка")</f>
        <v>Первая пятилетка</v>
      </c>
      <c r="N28" s="1">
        <f>IFERROR(__xludf.DUMMYFUNCTION("""COMPUTED_VALUE"""),627.0)</f>
        <v>627</v>
      </c>
      <c r="O28" s="1" t="str">
        <f>IFERROR(__xludf.DUMMYFUNCTION("""COMPUTED_VALUE"""),"Причины свертывания реформы")</f>
        <v>Причины свертывания реформы</v>
      </c>
      <c r="P28" s="1">
        <f>IFERROR(__xludf.DUMMYFUNCTION("""COMPUTED_VALUE"""),727.0)</f>
        <v>727</v>
      </c>
      <c r="Q28" s="1" t="str">
        <f>IFERROR(__xludf.DUMMYFUNCTION("""COMPUTED_VALUE"""),"Внешняя политика в 1990-е - 2000-е")</f>
        <v>Внешняя политика в 1990-е - 2000-е</v>
      </c>
      <c r="R28" s="1">
        <f>IFERROR(__xludf.DUMMYFUNCTION("""COMPUTED_VALUE"""),827.0)</f>
        <v>827</v>
      </c>
      <c r="S28" s="1" t="str">
        <f>IFERROR(__xludf.DUMMYFUNCTION("""COMPUTED_VALUE"""),"«Новый курс»")</f>
        <v>«Новый курс»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IFERROR(__xludf.DUMMYFUNCTION("""COMPUTED_VALUE"""),"Языческая реформа")</f>
        <v>Языческая реформа</v>
      </c>
      <c r="B29" s="1">
        <f>IFERROR(__xludf.DUMMYFUNCTION("""COMPUTED_VALUE"""),28.0)</f>
        <v>28</v>
      </c>
      <c r="C29" s="1" t="str">
        <f>IFERROR(__xludf.DUMMYFUNCTION("""COMPUTED_VALUE"""),"Постройка деревянного Кремля")</f>
        <v>Постройка деревянного Кремля</v>
      </c>
      <c r="D29" s="1">
        <f>IFERROR(__xludf.DUMMYFUNCTION("""COMPUTED_VALUE"""),128.0)</f>
        <v>128</v>
      </c>
      <c r="E29" s="1" t="str">
        <f>IFERROR(__xludf.DUMMYFUNCTION("""COMPUTED_VALUE"""),"Поход на Москву Лжедмитрия")</f>
        <v>Поход на Москву Лжедмитрия</v>
      </c>
      <c r="F29" s="1">
        <f>IFERROR(__xludf.DUMMYFUNCTION("""COMPUTED_VALUE"""),228.0)</f>
        <v>228</v>
      </c>
      <c r="G29" s="1" t="str">
        <f>IFERROR(__xludf.DUMMYFUNCTION("""COMPUTED_VALUE"""),"Азовские походы")</f>
        <v>Азовские походы</v>
      </c>
      <c r="H29" s="1">
        <f>IFERROR(__xludf.DUMMYFUNCTION("""COMPUTED_VALUE"""),328.0)</f>
        <v>328</v>
      </c>
      <c r="I29" s="1" t="str">
        <f>IFERROR(__xludf.DUMMYFUNCTION("""COMPUTED_VALUE"""),"Живопись 18 века")</f>
        <v>Живопись 18 века</v>
      </c>
      <c r="J29" s="1">
        <f>IFERROR(__xludf.DUMMYFUNCTION("""COMPUTED_VALUE"""),428.0)</f>
        <v>428</v>
      </c>
      <c r="K29" s="1" t="str">
        <f>IFERROR(__xludf.DUMMYFUNCTION("""COMPUTED_VALUE"""),"Внешняя политика в 1890-е-1900-е")</f>
        <v>Внешняя политика в 1890-е-1900-е</v>
      </c>
      <c r="L29" s="1">
        <f>IFERROR(__xludf.DUMMYFUNCTION("""COMPUTED_VALUE"""),528.0)</f>
        <v>528</v>
      </c>
      <c r="M29" s="1" t="str">
        <f>IFERROR(__xludf.DUMMYFUNCTION("""COMPUTED_VALUE"""),"Вторая пятилетка")</f>
        <v>Вторая пятилетка</v>
      </c>
      <c r="N29" s="1">
        <f>IFERROR(__xludf.DUMMYFUNCTION("""COMPUTED_VALUE"""),628.0)</f>
        <v>628</v>
      </c>
      <c r="O29" s="1" t="str">
        <f>IFERROR(__xludf.DUMMYFUNCTION("""COMPUTED_VALUE"""),"Восьмая (Золотая) пятилетка")</f>
        <v>Восьмая (Золотая) пятилетка</v>
      </c>
      <c r="P29" s="1">
        <f>IFERROR(__xludf.DUMMYFUNCTION("""COMPUTED_VALUE"""),728.0)</f>
        <v>728</v>
      </c>
      <c r="Q29" s="1" t="str">
        <f>IFERROR(__xludf.DUMMYFUNCTION("""COMPUTED_VALUE"""),"Интеграция на постсоветском пространстве")</f>
        <v>Интеграция на постсоветском пространстве</v>
      </c>
      <c r="R29" s="1">
        <f>IFERROR(__xludf.DUMMYFUNCTION("""COMPUTED_VALUE"""),828.0)</f>
        <v>828</v>
      </c>
      <c r="S29" s="1" t="str">
        <f>IFERROR(__xludf.DUMMYFUNCTION("""COMPUTED_VALUE"""),"Германский нацизм")</f>
        <v>Германский нацизм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IFERROR(__xludf.DUMMYFUNCTION("""COMPUTED_VALUE"""),"Междоусобица после смерти Владимира Первого")</f>
        <v>Междоусобица после смерти Владимира Первого</v>
      </c>
      <c r="B30" s="1">
        <f>IFERROR(__xludf.DUMMYFUNCTION("""COMPUTED_VALUE"""),29.0)</f>
        <v>29</v>
      </c>
      <c r="C30" s="1" t="str">
        <f>IFERROR(__xludf.DUMMYFUNCTION("""COMPUTED_VALUE"""),"Перенос митрополии из Владимира в Москву")</f>
        <v>Перенос митрополии из Владимира в Москву</v>
      </c>
      <c r="D30" s="1">
        <f>IFERROR(__xludf.DUMMYFUNCTION("""COMPUTED_VALUE"""),129.0)</f>
        <v>129</v>
      </c>
      <c r="E30" s="1" t="str">
        <f>IFERROR(__xludf.DUMMYFUNCTION("""COMPUTED_VALUE"""),"Политика Лжедмитрия Первого")</f>
        <v>Политика Лжедмитрия Первого</v>
      </c>
      <c r="F30" s="1">
        <f>IFERROR(__xludf.DUMMYFUNCTION("""COMPUTED_VALUE"""),229.0)</f>
        <v>229</v>
      </c>
      <c r="G30" s="1" t="str">
        <f>IFERROR(__xludf.DUMMYFUNCTION("""COMPUTED_VALUE"""),"Великое посольство ")</f>
        <v>Великое посольство </v>
      </c>
      <c r="H30" s="1">
        <f>IFERROR(__xludf.DUMMYFUNCTION("""COMPUTED_VALUE"""),329.0)</f>
        <v>329</v>
      </c>
      <c r="I30" s="1" t="str">
        <f>IFERROR(__xludf.DUMMYFUNCTION("""COMPUTED_VALUE"""),"Негласный комитет")</f>
        <v>Негласный комитет</v>
      </c>
      <c r="J30" s="1">
        <f>IFERROR(__xludf.DUMMYFUNCTION("""COMPUTED_VALUE"""),429.0)</f>
        <v>429</v>
      </c>
      <c r="K30" s="1" t="str">
        <f>IFERROR(__xludf.DUMMYFUNCTION("""COMPUTED_VALUE"""),"Деятельность Витте")</f>
        <v>Деятельность Витте</v>
      </c>
      <c r="L30" s="1">
        <f>IFERROR(__xludf.DUMMYFUNCTION("""COMPUTED_VALUE"""),529.0)</f>
        <v>529</v>
      </c>
      <c r="M30" s="1" t="str">
        <f>IFERROR(__xludf.DUMMYFUNCTION("""COMPUTED_VALUE"""),"Третья пятилетка")</f>
        <v>Третья пятилетка</v>
      </c>
      <c r="N30" s="1">
        <f>IFERROR(__xludf.DUMMYFUNCTION("""COMPUTED_VALUE"""),629.0)</f>
        <v>629</v>
      </c>
      <c r="O30" s="1" t="str">
        <f>IFERROR(__xludf.DUMMYFUNCTION("""COMPUTED_VALUE"""),"Девятая пятилетка")</f>
        <v>Девятая пятилетка</v>
      </c>
      <c r="P30" s="1">
        <f>IFERROR(__xludf.DUMMYFUNCTION("""COMPUTED_VALUE"""),729.0)</f>
        <v>729</v>
      </c>
      <c r="Q30" s="1" t="str">
        <f>IFERROR(__xludf.DUMMYFUNCTION("""COMPUTED_VALUE"""),"Взаимоотношения с Западом после распада СССР")</f>
        <v>Взаимоотношения с Западом после распада СССР</v>
      </c>
      <c r="R30" s="1">
        <f>IFERROR(__xludf.DUMMYFUNCTION("""COMPUTED_VALUE"""),829.0)</f>
        <v>829</v>
      </c>
      <c r="S30" s="1" t="str">
        <f>IFERROR(__xludf.DUMMYFUNCTION("""COMPUTED_VALUE"""),"Японский милитаризм")</f>
        <v>Японский милитаризм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IFERROR(__xludf.DUMMYFUNCTION("""COMPUTED_VALUE"""),"Разгром печенегов")</f>
        <v>Разгром печенегов</v>
      </c>
      <c r="B31" s="1">
        <f>IFERROR(__xludf.DUMMYFUNCTION("""COMPUTED_VALUE"""),30.0)</f>
        <v>30</v>
      </c>
      <c r="C31" s="1" t="str">
        <f>IFERROR(__xludf.DUMMYFUNCTION("""COMPUTED_VALUE"""),"Борьба с Литвой Симеона Гордого")</f>
        <v>Борьба с Литвой Симеона Гордого</v>
      </c>
      <c r="D31" s="1">
        <f>IFERROR(__xludf.DUMMYFUNCTION("""COMPUTED_VALUE"""),130.0)</f>
        <v>130</v>
      </c>
      <c r="E31" s="1" t="str">
        <f>IFERROR(__xludf.DUMMYFUNCTION("""COMPUTED_VALUE"""),"Переворот Василия Шуйского")</f>
        <v>Переворот Василия Шуйского</v>
      </c>
      <c r="F31" s="1">
        <f>IFERROR(__xludf.DUMMYFUNCTION("""COMPUTED_VALUE"""),230.0)</f>
        <v>230</v>
      </c>
      <c r="G31" s="1" t="str">
        <f>IFERROR(__xludf.DUMMYFUNCTION("""COMPUTED_VALUE"""),"Стрелецкий бунт")</f>
        <v>Стрелецкий бунт</v>
      </c>
      <c r="H31" s="1">
        <f>IFERROR(__xludf.DUMMYFUNCTION("""COMPUTED_VALUE"""),330.0)</f>
        <v>330</v>
      </c>
      <c r="I31" s="1" t="str">
        <f>IFERROR(__xludf.DUMMYFUNCTION("""COMPUTED_VALUE"""),"Либеральные реформы Александра I")</f>
        <v>Либеральные реформы Александра I</v>
      </c>
      <c r="J31" s="1">
        <f>IFERROR(__xludf.DUMMYFUNCTION("""COMPUTED_VALUE"""),430.0)</f>
        <v>430</v>
      </c>
      <c r="K31" s="1" t="str">
        <f>IFERROR(__xludf.DUMMYFUNCTION("""COMPUTED_VALUE"""),"Деятельность Плеве")</f>
        <v>Деятельность Плеве</v>
      </c>
      <c r="L31" s="1">
        <f>IFERROR(__xludf.DUMMYFUNCTION("""COMPUTED_VALUE"""),530.0)</f>
        <v>530</v>
      </c>
      <c r="M31" s="1" t="str">
        <f>IFERROR(__xludf.DUMMYFUNCTION("""COMPUTED_VALUE"""),"Итоги индустриализации")</f>
        <v>Итоги индустриализации</v>
      </c>
      <c r="N31" s="1">
        <f>IFERROR(__xludf.DUMMYFUNCTION("""COMPUTED_VALUE"""),630.0)</f>
        <v>630</v>
      </c>
      <c r="O31" s="1" t="str">
        <f>IFERROR(__xludf.DUMMYFUNCTION("""COMPUTED_VALUE"""),"Десятая пятилетка")</f>
        <v>Десятая пятилетка</v>
      </c>
      <c r="P31" s="1">
        <f>IFERROR(__xludf.DUMMYFUNCTION("""COMPUTED_VALUE"""),730.0)</f>
        <v>730</v>
      </c>
      <c r="Q31" s="1" t="str">
        <f>IFERROR(__xludf.DUMMYFUNCTION("""COMPUTED_VALUE"""),"Зимние Олимпийские игры в Сочи")</f>
        <v>Зимние Олимпийские игры в Сочи</v>
      </c>
      <c r="R31" s="1">
        <f>IFERROR(__xludf.DUMMYFUNCTION("""COMPUTED_VALUE"""),830.0)</f>
        <v>830</v>
      </c>
      <c r="S31" s="1" t="str">
        <f>IFERROR(__xludf.DUMMYFUNCTION("""COMPUTED_VALUE"""),"«Народный фронт». Нарастание
агрессии")</f>
        <v>«Народный фронт». Нарастание
агрессии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IFERROR(__xludf.DUMMYFUNCTION("""COMPUTED_VALUE"""),"Правда Ярослава. Лествичный порядок")</f>
        <v>Правда Ярослава. Лествичный порядок</v>
      </c>
      <c r="B32" s="1">
        <f>IFERROR(__xludf.DUMMYFUNCTION("""COMPUTED_VALUE"""),31.0)</f>
        <v>31</v>
      </c>
      <c r="C32" s="1" t="str">
        <f>IFERROR(__xludf.DUMMYFUNCTION("""COMPUTED_VALUE"""),"Правление Ивана Красного")</f>
        <v>Правление Ивана Красного</v>
      </c>
      <c r="D32" s="1">
        <f>IFERROR(__xludf.DUMMYFUNCTION("""COMPUTED_VALUE"""),131.0)</f>
        <v>131</v>
      </c>
      <c r="E32" s="1" t="str">
        <f>IFERROR(__xludf.DUMMYFUNCTION("""COMPUTED_VALUE"""),"Крестоцеловальная запись")</f>
        <v>Крестоцеловальная запись</v>
      </c>
      <c r="F32" s="1">
        <f>IFERROR(__xludf.DUMMYFUNCTION("""COMPUTED_VALUE"""),231.0)</f>
        <v>231</v>
      </c>
      <c r="G32" s="1" t="str">
        <f>IFERROR(__xludf.DUMMYFUNCTION("""COMPUTED_VALUE"""),"Рекрутская реформа")</f>
        <v>Рекрутская реформа</v>
      </c>
      <c r="H32" s="1">
        <f>IFERROR(__xludf.DUMMYFUNCTION("""COMPUTED_VALUE"""),331.0)</f>
        <v>331</v>
      </c>
      <c r="I32" s="1" t="str">
        <f>IFERROR(__xludf.DUMMYFUNCTION("""COMPUTED_VALUE"""),"Крестьянский вопрос при Александре I")</f>
        <v>Крестьянский вопрос при Александре I</v>
      </c>
      <c r="J32" s="1">
        <f>IFERROR(__xludf.DUMMYFUNCTION("""COMPUTED_VALUE"""),431.0)</f>
        <v>431</v>
      </c>
      <c r="K32" s="1" t="str">
        <f>IFERROR(__xludf.DUMMYFUNCTION("""COMPUTED_VALUE"""),"Первая русская революция")</f>
        <v>Первая русская революция</v>
      </c>
      <c r="L32" s="1">
        <f>IFERROR(__xludf.DUMMYFUNCTION("""COMPUTED_VALUE"""),531.0)</f>
        <v>531</v>
      </c>
      <c r="M32" s="1" t="str">
        <f>IFERROR(__xludf.DUMMYFUNCTION("""COMPUTED_VALUE"""),"«Классовые враги». Репрессии. Культ личности")</f>
        <v>«Классовые враги». Репрессии. Культ личности</v>
      </c>
      <c r="N32" s="1">
        <f>IFERROR(__xludf.DUMMYFUNCTION("""COMPUTED_VALUE"""),631.0)</f>
        <v>631</v>
      </c>
      <c r="O32" s="1" t="str">
        <f>IFERROR(__xludf.DUMMYFUNCTION("""COMPUTED_VALUE"""),"Одиннадцатая пятилетка")</f>
        <v>Одиннадцатая пятилетка</v>
      </c>
      <c r="P32" s="1">
        <f>IFERROR(__xludf.DUMMYFUNCTION("""COMPUTED_VALUE"""),731.0)</f>
        <v>731</v>
      </c>
      <c r="Q32" s="1" t="str">
        <f>IFERROR(__xludf.DUMMYFUNCTION("""COMPUTED_VALUE"""),"Вхождение Крыма и Севастополя в состав РФ")</f>
        <v>Вхождение Крыма и Севастополя в состав РФ</v>
      </c>
      <c r="R32" s="1">
        <f>IFERROR(__xludf.DUMMYFUNCTION("""COMPUTED_VALUE"""),831.0)</f>
        <v>831</v>
      </c>
      <c r="S32" s="1" t="str">
        <f>IFERROR(__xludf.DUMMYFUNCTION("""COMPUTED_VALUE"""),"Политика «умиротворения» и её последствия")</f>
        <v>Политика «умиротворения» и её последствия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IFERROR(__xludf.DUMMYFUNCTION("""COMPUTED_VALUE"""),"Митрополит Иларион")</f>
        <v>Митрополит Иларион</v>
      </c>
      <c r="B33" s="1">
        <f>IFERROR(__xludf.DUMMYFUNCTION("""COMPUTED_VALUE"""),32.0)</f>
        <v>32</v>
      </c>
      <c r="C33" s="1" t="str">
        <f>IFERROR(__xludf.DUMMYFUNCTION("""COMPUTED_VALUE"""),"Битва на р. Пьяне и Воже. Куликовская битва")</f>
        <v>Битва на р. Пьяне и Воже. Куликовская битва</v>
      </c>
      <c r="D33" s="1">
        <f>IFERROR(__xludf.DUMMYFUNCTION("""COMPUTED_VALUE"""),132.0)</f>
        <v>132</v>
      </c>
      <c r="E33" s="1" t="str">
        <f>IFERROR(__xludf.DUMMYFUNCTION("""COMPUTED_VALUE"""),"Угличское дело. Смерть царевича Дмитрия")</f>
        <v>Угличское дело. Смерть царевича Дмитрия</v>
      </c>
      <c r="F33" s="1">
        <f>IFERROR(__xludf.DUMMYFUNCTION("""COMPUTED_VALUE"""),232.0)</f>
        <v>232</v>
      </c>
      <c r="G33" s="1" t="str">
        <f>IFERROR(__xludf.DUMMYFUNCTION("""COMPUTED_VALUE"""),"Европеизация при Петре Первом")</f>
        <v>Европеизация при Петре Первом</v>
      </c>
      <c r="H33" s="1">
        <f>IFERROR(__xludf.DUMMYFUNCTION("""COMPUTED_VALUE"""),332.0)</f>
        <v>332</v>
      </c>
      <c r="I33" s="1" t="str">
        <f>IFERROR(__xludf.DUMMYFUNCTION("""COMPUTED_VALUE"""),"Деятельность Сперанского")</f>
        <v>Деятельность Сперанского</v>
      </c>
      <c r="J33" s="1">
        <f>IFERROR(__xludf.DUMMYFUNCTION("""COMPUTED_VALUE"""),432.0)</f>
        <v>432</v>
      </c>
      <c r="K33" s="1" t="str">
        <f>IFERROR(__xludf.DUMMYFUNCTION("""COMPUTED_VALUE"""),"Рабочий вопрос при Николае II")</f>
        <v>Рабочий вопрос при Николае II</v>
      </c>
      <c r="L33" s="1">
        <f>IFERROR(__xludf.DUMMYFUNCTION("""COMPUTED_VALUE"""),532.0)</f>
        <v>532</v>
      </c>
      <c r="M33" s="1" t="str">
        <f>IFERROR(__xludf.DUMMYFUNCTION("""COMPUTED_VALUE"""),"Коллективизация")</f>
        <v>Коллективизация</v>
      </c>
      <c r="N33" s="1">
        <f>IFERROR(__xludf.DUMMYFUNCTION("""COMPUTED_VALUE"""),632.0)</f>
        <v>632</v>
      </c>
      <c r="O33" s="1" t="str">
        <f>IFERROR(__xludf.DUMMYFUNCTION("""COMPUTED_VALUE"""),"Социальные реформы Брежнева")</f>
        <v>Социальные реформы Брежнева</v>
      </c>
      <c r="P33" s="1">
        <f>IFERROR(__xludf.DUMMYFUNCTION("""COMPUTED_VALUE"""),732.0)</f>
        <v>732</v>
      </c>
      <c r="Q33" s="1" t="str">
        <f>IFERROR(__xludf.DUMMYFUNCTION("""COMPUTED_VALUE"""),"Культура Новой России")</f>
        <v>Культура Новой России</v>
      </c>
      <c r="R33" s="1">
        <f>IFERROR(__xludf.DUMMYFUNCTION("""COMPUTED_VALUE"""),832.0)</f>
        <v>832</v>
      </c>
      <c r="S33" s="1" t="str">
        <f>IFERROR(__xludf.DUMMYFUNCTION("""COMPUTED_VALUE"""),"Мир накануне Второй мировой войны")</f>
        <v>Мир накануне Второй мировой войны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IFERROR(__xludf.DUMMYFUNCTION("""COMPUTED_VALUE"""),"Триумвират Ярославичей. Правда Ярославичей")</f>
        <v>Триумвират Ярославичей. Правда Ярославичей</v>
      </c>
      <c r="B34" s="1">
        <f>IFERROR(__xludf.DUMMYFUNCTION("""COMPUTED_VALUE"""),33.0)</f>
        <v>33</v>
      </c>
      <c r="C34" s="1" t="str">
        <f>IFERROR(__xludf.DUMMYFUNCTION("""COMPUTED_VALUE"""),"Набег Тохтамыша на Москву")</f>
        <v>Набег Тохтамыша на Москву</v>
      </c>
      <c r="D34" s="1">
        <f>IFERROR(__xludf.DUMMYFUNCTION("""COMPUTED_VALUE"""),133.0)</f>
        <v>133</v>
      </c>
      <c r="E34" s="1" t="str">
        <f>IFERROR(__xludf.DUMMYFUNCTION("""COMPUTED_VALUE"""),"Избрание Шуйского")</f>
        <v>Избрание Шуйского</v>
      </c>
      <c r="F34" s="1">
        <f>IFERROR(__xludf.DUMMYFUNCTION("""COMPUTED_VALUE"""),233.0)</f>
        <v>233</v>
      </c>
      <c r="G34" s="1" t="str">
        <f>IFERROR(__xludf.DUMMYFUNCTION("""COMPUTED_VALUE"""),"Северная война")</f>
        <v>Северная война</v>
      </c>
      <c r="H34" s="1">
        <f>IFERROR(__xludf.DUMMYFUNCTION("""COMPUTED_VALUE"""),333.0)</f>
        <v>333</v>
      </c>
      <c r="I34" s="1" t="str">
        <f>IFERROR(__xludf.DUMMYFUNCTION("""COMPUTED_VALUE"""),"Аракчеевщина. Консерватизм")</f>
        <v>Аракчеевщина. Консерватизм</v>
      </c>
      <c r="J34" s="1">
        <f>IFERROR(__xludf.DUMMYFUNCTION("""COMPUTED_VALUE"""),433.0)</f>
        <v>433</v>
      </c>
      <c r="K34" s="1" t="str">
        <f>IFERROR(__xludf.DUMMYFUNCTION("""COMPUTED_VALUE"""),"Национальный вопрос при Николае II")</f>
        <v>Национальный вопрос при Николае II</v>
      </c>
      <c r="L34" s="1">
        <f>IFERROR(__xludf.DUMMYFUNCTION("""COMPUTED_VALUE"""),533.0)</f>
        <v>533</v>
      </c>
      <c r="M34" s="1" t="str">
        <f>IFERROR(__xludf.DUMMYFUNCTION("""COMPUTED_VALUE"""),"Итоги коллективизации")</f>
        <v>Итоги коллективизации</v>
      </c>
      <c r="N34" s="1">
        <f>IFERROR(__xludf.DUMMYFUNCTION("""COMPUTED_VALUE"""),633.0)</f>
        <v>633</v>
      </c>
      <c r="O34" s="1" t="str">
        <f>IFERROR(__xludf.DUMMYFUNCTION("""COMPUTED_VALUE"""),"Национальные движения")</f>
        <v>Национальные движения</v>
      </c>
      <c r="P34" s="1">
        <f>IFERROR(__xludf.DUMMYFUNCTION("""COMPUTED_VALUE"""),733.0)</f>
        <v>733</v>
      </c>
      <c r="Q34" s="1"/>
      <c r="R34" s="1"/>
      <c r="S34" s="1" t="str">
        <f>IFERROR(__xludf.DUMMYFUNCTION("""COMPUTED_VALUE"""),"Вторая мировая война: причины, состав участников, основные этапы и события, итоги")</f>
        <v>Вторая мировая война: причины, состав участников, основные этапы и события, итоги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IFERROR(__xludf.DUMMYFUNCTION("""COMPUTED_VALUE"""),"Борьба с половцами. Битва на Альте 1068 г.")</f>
        <v>Борьба с половцами. Битва на Альте 1068 г.</v>
      </c>
      <c r="B35" s="1">
        <f>IFERROR(__xludf.DUMMYFUNCTION("""COMPUTED_VALUE"""),34.0)</f>
        <v>34</v>
      </c>
      <c r="C35" s="1" t="str">
        <f>IFERROR(__xludf.DUMMYFUNCTION("""COMPUTED_VALUE"""),"Походы Ольгерда на Москву")</f>
        <v>Походы Ольгерда на Москву</v>
      </c>
      <c r="D35" s="1">
        <f>IFERROR(__xludf.DUMMYFUNCTION("""COMPUTED_VALUE"""),134.0)</f>
        <v>134</v>
      </c>
      <c r="E35" s="1" t="str">
        <f>IFERROR(__xludf.DUMMYFUNCTION("""COMPUTED_VALUE"""),"Восстание Болотникова")</f>
        <v>Восстание Болотникова</v>
      </c>
      <c r="F35" s="1">
        <f>IFERROR(__xludf.DUMMYFUNCTION("""COMPUTED_VALUE"""),234.0)</f>
        <v>234</v>
      </c>
      <c r="G35" s="1" t="str">
        <f>IFERROR(__xludf.DUMMYFUNCTION("""COMPUTED_VALUE"""),"Каспийский и Персидский поход")</f>
        <v>Каспийский и Персидский поход</v>
      </c>
      <c r="H35" s="1">
        <f>IFERROR(__xludf.DUMMYFUNCTION("""COMPUTED_VALUE"""),334.0)</f>
        <v>334</v>
      </c>
      <c r="I35" s="1" t="str">
        <f>IFERROR(__xludf.DUMMYFUNCTION("""COMPUTED_VALUE"""),"Декабристы")</f>
        <v>Декабристы</v>
      </c>
      <c r="J35" s="1">
        <f>IFERROR(__xludf.DUMMYFUNCTION("""COMPUTED_VALUE"""),434.0)</f>
        <v>434</v>
      </c>
      <c r="K35" s="1" t="str">
        <f>IFERROR(__xludf.DUMMYFUNCTION("""COMPUTED_VALUE"""),"Крестьянский вопрос при Николае II")</f>
        <v>Крестьянский вопрос при Николае II</v>
      </c>
      <c r="L35" s="1">
        <f>IFERROR(__xludf.DUMMYFUNCTION("""COMPUTED_VALUE"""),534.0)</f>
        <v>534</v>
      </c>
      <c r="M35" s="1" t="str">
        <f>IFERROR(__xludf.DUMMYFUNCTION("""COMPUTED_VALUE"""),"Конституция 1936 г.")</f>
        <v>Конституция 1936 г.</v>
      </c>
      <c r="N35" s="1">
        <f>IFERROR(__xludf.DUMMYFUNCTION("""COMPUTED_VALUE"""),634.0)</f>
        <v>634</v>
      </c>
      <c r="O35" s="1" t="str">
        <f>IFERROR(__xludf.DUMMYFUNCTION("""COMPUTED_VALUE"""),"Итоги руководства Брежнева")</f>
        <v>Итоги руководства Брежнева</v>
      </c>
      <c r="P35" s="1">
        <f>IFERROR(__xludf.DUMMYFUNCTION("""COMPUTED_VALUE"""),734.0)</f>
        <v>734</v>
      </c>
      <c r="Q35" s="1"/>
      <c r="R35" s="1"/>
      <c r="S35" s="1" t="str">
        <f>IFERROR(__xludf.DUMMYFUNCTION("""COMPUTED_VALUE"""),"Власть и общество в годы войны")</f>
        <v>Власть и общество в годы войны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IFERROR(__xludf.DUMMYFUNCTION("""COMPUTED_VALUE"""),"Святополк Изяславич")</f>
        <v>Святополк Изяславич</v>
      </c>
      <c r="B36" s="1">
        <f>IFERROR(__xludf.DUMMYFUNCTION("""COMPUTED_VALUE"""),35.0)</f>
        <v>35</v>
      </c>
      <c r="C36" s="1" t="str">
        <f>IFERROR(__xludf.DUMMYFUNCTION("""COMPUTED_VALUE"""),"Роль Сергия Радонежского")</f>
        <v>Роль Сергия Радонежского</v>
      </c>
      <c r="D36" s="1">
        <f>IFERROR(__xludf.DUMMYFUNCTION("""COMPUTED_VALUE"""),135.0)</f>
        <v>135</v>
      </c>
      <c r="E36" s="1" t="str">
        <f>IFERROR(__xludf.DUMMYFUNCTION("""COMPUTED_VALUE"""),"Лжедмитрий 2")</f>
        <v>Лжедмитрий 2</v>
      </c>
      <c r="F36" s="1">
        <f>IFERROR(__xludf.DUMMYFUNCTION("""COMPUTED_VALUE"""),235.0)</f>
        <v>235</v>
      </c>
      <c r="G36" s="1" t="str">
        <f>IFERROR(__xludf.DUMMYFUNCTION("""COMPUTED_VALUE"""),"Социально-экономические реформы")</f>
        <v>Социально-экономические реформы</v>
      </c>
      <c r="H36" s="1">
        <f>IFERROR(__xludf.DUMMYFUNCTION("""COMPUTED_VALUE"""),335.0)</f>
        <v>335</v>
      </c>
      <c r="I36" s="1" t="str">
        <f>IFERROR(__xludf.DUMMYFUNCTION("""COMPUTED_VALUE"""),"Антифранцузские коалиции")</f>
        <v>Антифранцузские коалиции</v>
      </c>
      <c r="J36" s="1">
        <f>IFERROR(__xludf.DUMMYFUNCTION("""COMPUTED_VALUE"""),435.0)</f>
        <v>435</v>
      </c>
      <c r="K36" s="1" t="str">
        <f>IFERROR(__xludf.DUMMYFUNCTION("""COMPUTED_VALUE"""),"Партии. РСДРП. Эсеры")</f>
        <v>Партии. РСДРП. Эсеры</v>
      </c>
      <c r="L36" s="1">
        <f>IFERROR(__xludf.DUMMYFUNCTION("""COMPUTED_VALUE"""),535.0)</f>
        <v>535</v>
      </c>
      <c r="M36" s="1" t="str">
        <f>IFERROR(__xludf.DUMMYFUNCTION("""COMPUTED_VALUE"""),"Церковь при Сталине")</f>
        <v>Церковь при Сталине</v>
      </c>
      <c r="N36" s="1">
        <f>IFERROR(__xludf.DUMMYFUNCTION("""COMPUTED_VALUE"""),635.0)</f>
        <v>635</v>
      </c>
      <c r="O36" s="1" t="str">
        <f>IFERROR(__xludf.DUMMYFUNCTION("""COMPUTED_VALUE"""),"Внешняя политика при Брежневе")</f>
        <v>Внешняя политика при Брежневе</v>
      </c>
      <c r="P36" s="1">
        <f>IFERROR(__xludf.DUMMYFUNCTION("""COMPUTED_VALUE"""),735.0)</f>
        <v>735</v>
      </c>
      <c r="Q36" s="1"/>
      <c r="R36" s="1"/>
      <c r="S36" s="1" t="str">
        <f>IFERROR(__xludf.DUMMYFUNCTION("""COMPUTED_VALUE"""),"Перемены в мире под влиянием победы во Второй мировой войне над силами реакции и агрессии")</f>
        <v>Перемены в мире под влиянием победы во Второй мировой войне над силами реакции и агрессии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IFERROR(__xludf.DUMMYFUNCTION("""COMPUTED_VALUE"""),"Любечский съезд")</f>
        <v>Любечский съезд</v>
      </c>
      <c r="B37" s="1">
        <f>IFERROR(__xludf.DUMMYFUNCTION("""COMPUTED_VALUE"""),36.0)</f>
        <v>36</v>
      </c>
      <c r="C37" s="1" t="str">
        <f>IFERROR(__xludf.DUMMYFUNCTION("""COMPUTED_VALUE"""),"Поход на Тверь Дмитрия Донского")</f>
        <v>Поход на Тверь Дмитрия Донского</v>
      </c>
      <c r="D37" s="1">
        <f>IFERROR(__xludf.DUMMYFUNCTION("""COMPUTED_VALUE"""),136.0)</f>
        <v>136</v>
      </c>
      <c r="E37" s="1" t="str">
        <f>IFERROR(__xludf.DUMMYFUNCTION("""COMPUTED_VALUE"""),"Осада Троице-Сергиева монастыря")</f>
        <v>Осада Троице-Сергиева монастыря</v>
      </c>
      <c r="F37" s="1">
        <f>IFERROR(__xludf.DUMMYFUNCTION("""COMPUTED_VALUE"""),236.0)</f>
        <v>236</v>
      </c>
      <c r="G37" s="1" t="str">
        <f>IFERROR(__xludf.DUMMYFUNCTION("""COMPUTED_VALUE"""),"Административные реформы")</f>
        <v>Административные реформы</v>
      </c>
      <c r="H37" s="1">
        <f>IFERROR(__xludf.DUMMYFUNCTION("""COMPUTED_VALUE"""),336.0)</f>
        <v>336</v>
      </c>
      <c r="I37" s="1" t="str">
        <f>IFERROR(__xludf.DUMMYFUNCTION("""COMPUTED_VALUE"""),"Тильзитский мир")</f>
        <v>Тильзитский мир</v>
      </c>
      <c r="J37" s="1">
        <f>IFERROR(__xludf.DUMMYFUNCTION("""COMPUTED_VALUE"""),436.0)</f>
        <v>436</v>
      </c>
      <c r="K37" s="1" t="str">
        <f>IFERROR(__xludf.DUMMYFUNCTION("""COMPUTED_VALUE"""),"Русско-японская война")</f>
        <v>Русско-японская война</v>
      </c>
      <c r="L37" s="1">
        <f>IFERROR(__xludf.DUMMYFUNCTION("""COMPUTED_VALUE"""),536.0)</f>
        <v>536</v>
      </c>
      <c r="M37" s="1" t="str">
        <f>IFERROR(__xludf.DUMMYFUNCTION("""COMPUTED_VALUE"""),"Подготовка к войне")</f>
        <v>Подготовка к войне</v>
      </c>
      <c r="N37" s="1">
        <f>IFERROR(__xludf.DUMMYFUNCTION("""COMPUTED_VALUE"""),636.0)</f>
        <v>636</v>
      </c>
      <c r="O37" s="1" t="str">
        <f>IFERROR(__xludf.DUMMYFUNCTION("""COMPUTED_VALUE"""),"«Пражская весна»")</f>
        <v>«Пражская весна»</v>
      </c>
      <c r="P37" s="1">
        <f>IFERROR(__xludf.DUMMYFUNCTION("""COMPUTED_VALUE"""),736.0)</f>
        <v>736</v>
      </c>
      <c r="Q37" s="1"/>
      <c r="R37" s="1"/>
      <c r="S37" s="1" t="str">
        <f>IFERROR(__xludf.DUMMYFUNCTION("""COMPUTED_VALUE"""),"Экономические и политические изменения в странах Запада")</f>
        <v>Экономические и политические изменения в странах Запада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IFERROR(__xludf.DUMMYFUNCTION("""COMPUTED_VALUE"""),"Походы против половцев")</f>
        <v>Походы против половцев</v>
      </c>
      <c r="B38" s="1">
        <f>IFERROR(__xludf.DUMMYFUNCTION("""COMPUTED_VALUE"""),37.0)</f>
        <v>37</v>
      </c>
      <c r="C38" s="1" t="str">
        <f>IFERROR(__xludf.DUMMYFUNCTION("""COMPUTED_VALUE"""),"Книгописание, летописание 12-14 вв")</f>
        <v>Книгописание, летописание 12-14 вв</v>
      </c>
      <c r="D38" s="1">
        <f>IFERROR(__xludf.DUMMYFUNCTION("""COMPUTED_VALUE"""),137.0)</f>
        <v>137</v>
      </c>
      <c r="E38" s="1" t="str">
        <f>IFERROR(__xludf.DUMMYFUNCTION("""COMPUTED_VALUE"""),"Семибоярщина")</f>
        <v>Семибоярщина</v>
      </c>
      <c r="F38" s="1">
        <f>IFERROR(__xludf.DUMMYFUNCTION("""COMPUTED_VALUE"""),237.0)</f>
        <v>237</v>
      </c>
      <c r="G38" s="1" t="str">
        <f>IFERROR(__xludf.DUMMYFUNCTION("""COMPUTED_VALUE"""),"Военные реформы")</f>
        <v>Военные реформы</v>
      </c>
      <c r="H38" s="1">
        <f>IFERROR(__xludf.DUMMYFUNCTION("""COMPUTED_VALUE"""),337.0)</f>
        <v>337</v>
      </c>
      <c r="I38" s="1" t="str">
        <f>IFERROR(__xludf.DUMMYFUNCTION("""COMPUTED_VALUE"""),"Отечественная война")</f>
        <v>Отечественная война</v>
      </c>
      <c r="J38" s="1">
        <f>IFERROR(__xludf.DUMMYFUNCTION("""COMPUTED_VALUE"""),437.0)</f>
        <v>437</v>
      </c>
      <c r="K38" s="1" t="str">
        <f>IFERROR(__xludf.DUMMYFUNCTION("""COMPUTED_VALUE"""),"Революция 1905-1907")</f>
        <v>Революция 1905-1907</v>
      </c>
      <c r="L38" s="1">
        <f>IFERROR(__xludf.DUMMYFUNCTION("""COMPUTED_VALUE"""),537.0)</f>
        <v>537</v>
      </c>
      <c r="M38" s="1" t="str">
        <f>IFERROR(__xludf.DUMMYFUNCTION("""COMPUTED_VALUE"""),"Вхождение республик в СССР")</f>
        <v>Вхождение республик в СССР</v>
      </c>
      <c r="N38" s="1">
        <f>IFERROR(__xludf.DUMMYFUNCTION("""COMPUTED_VALUE"""),637.0)</f>
        <v>637</v>
      </c>
      <c r="O38" s="1" t="str">
        <f>IFERROR(__xludf.DUMMYFUNCTION("""COMPUTED_VALUE"""),"Разрядка")</f>
        <v>Разрядка</v>
      </c>
      <c r="P38" s="1">
        <f>IFERROR(__xludf.DUMMYFUNCTION("""COMPUTED_VALUE"""),737.0)</f>
        <v>737</v>
      </c>
      <c r="Q38" s="1"/>
      <c r="R38" s="1"/>
      <c r="S38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IFERROR(__xludf.DUMMYFUNCTION("""COMPUTED_VALUE"""),"Антиростовщическое восстание в Киеве 1113 г.")</f>
        <v>Антиростовщическое восстание в Киеве 1113 г.</v>
      </c>
      <c r="B39" s="1">
        <f>IFERROR(__xludf.DUMMYFUNCTION("""COMPUTED_VALUE"""),38.0)</f>
        <v>38</v>
      </c>
      <c r="C39" s="1" t="str">
        <f>IFERROR(__xludf.DUMMYFUNCTION("""COMPUTED_VALUE"""),"Литература 12-14 вв")</f>
        <v>Литература 12-14 вв</v>
      </c>
      <c r="D39" s="1">
        <f>IFERROR(__xludf.DUMMYFUNCTION("""COMPUTED_VALUE"""),138.0)</f>
        <v>138</v>
      </c>
      <c r="E39" s="1" t="str">
        <f>IFERROR(__xludf.DUMMYFUNCTION("""COMPUTED_VALUE"""),"Переворот во главе с Ляпуновым")</f>
        <v>Переворот во главе с Ляпуновым</v>
      </c>
      <c r="F39" s="1">
        <f>IFERROR(__xludf.DUMMYFUNCTION("""COMPUTED_VALUE"""),238.0)</f>
        <v>238</v>
      </c>
      <c r="G39" s="1" t="str">
        <f>IFERROR(__xludf.DUMMYFUNCTION("""COMPUTED_VALUE"""),"Вопрос о престолонаследии")</f>
        <v>Вопрос о престолонаследии</v>
      </c>
      <c r="H39" s="1">
        <f>IFERROR(__xludf.DUMMYFUNCTION("""COMPUTED_VALUE"""),338.0)</f>
        <v>338</v>
      </c>
      <c r="I39" s="1" t="str">
        <f>IFERROR(__xludf.DUMMYFUNCTION("""COMPUTED_VALUE"""),"Заграничные походы")</f>
        <v>Заграничные походы</v>
      </c>
      <c r="J39" s="1">
        <f>IFERROR(__xludf.DUMMYFUNCTION("""COMPUTED_VALUE"""),438.0)</f>
        <v>438</v>
      </c>
      <c r="K39" s="1" t="str">
        <f>IFERROR(__xludf.DUMMYFUNCTION("""COMPUTED_VALUE"""),"Деятельность Госдумы при Николае II")</f>
        <v>Деятельность Госдумы при Николае II</v>
      </c>
      <c r="L39" s="1">
        <f>IFERROR(__xludf.DUMMYFUNCTION("""COMPUTED_VALUE"""),538.0)</f>
        <v>538</v>
      </c>
      <c r="M39" s="1" t="str">
        <f>IFERROR(__xludf.DUMMYFUNCTION("""COMPUTED_VALUE"""),"Внешняя политика 1930-х")</f>
        <v>Внешняя политика 1930-х</v>
      </c>
      <c r="N39" s="1">
        <f>IFERROR(__xludf.DUMMYFUNCTION("""COMPUTED_VALUE"""),638.0)</f>
        <v>638</v>
      </c>
      <c r="O39" s="1" t="str">
        <f>IFERROR(__xludf.DUMMYFUNCTION("""COMPUTED_VALUE"""),"Ввод войск в афганистан")</f>
        <v>Ввод войск в афганистан</v>
      </c>
      <c r="P39" s="1">
        <f>IFERROR(__xludf.DUMMYFUNCTION("""COMPUTED_VALUE"""),738.0)</f>
        <v>738</v>
      </c>
      <c r="Q39" s="1"/>
      <c r="R39" s="1"/>
      <c r="S39" s="1" t="str">
        <f>IFERROR(__xludf.DUMMYFUNCTION("""COMPUTED_VALUE"""),"Распад колониальных империй и его последстви")</f>
        <v>Распад колониальных империй и его последстви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IFERROR(__xludf.DUMMYFUNCTION("""COMPUTED_VALUE"""),"Устав Владимира Мономаха")</f>
        <v>Устав Владимира Мономаха</v>
      </c>
      <c r="B40" s="1">
        <f>IFERROR(__xludf.DUMMYFUNCTION("""COMPUTED_VALUE"""),39.0)</f>
        <v>39</v>
      </c>
      <c r="C40" s="1" t="str">
        <f>IFERROR(__xludf.DUMMYFUNCTION("""COMPUTED_VALUE"""),"Зодчество 12-14 вв")</f>
        <v>Зодчество 12-14 вв</v>
      </c>
      <c r="D40" s="1">
        <f>IFERROR(__xludf.DUMMYFUNCTION("""COMPUTED_VALUE"""),139.0)</f>
        <v>139</v>
      </c>
      <c r="E40" s="1" t="str">
        <f>IFERROR(__xludf.DUMMYFUNCTION("""COMPUTED_VALUE"""),"Патриарх Гермоген")</f>
        <v>Патриарх Гермоген</v>
      </c>
      <c r="F40" s="1">
        <f>IFERROR(__xludf.DUMMYFUNCTION("""COMPUTED_VALUE"""),239.0)</f>
        <v>239</v>
      </c>
      <c r="G40" s="1" t="str">
        <f>IFERROR(__xludf.DUMMYFUNCTION("""COMPUTED_VALUE"""),"Восстание Кондратия Булавина")</f>
        <v>Восстание Кондратия Булавина</v>
      </c>
      <c r="H40" s="1">
        <f>IFERROR(__xludf.DUMMYFUNCTION("""COMPUTED_VALUE"""),339.0)</f>
        <v>339</v>
      </c>
      <c r="I40" s="1" t="str">
        <f>IFERROR(__xludf.DUMMYFUNCTION("""COMPUTED_VALUE"""),"Венский конгресс")</f>
        <v>Венский конгресс</v>
      </c>
      <c r="J40" s="1">
        <f>IFERROR(__xludf.DUMMYFUNCTION("""COMPUTED_VALUE"""),439.0)</f>
        <v>439</v>
      </c>
      <c r="K40" s="1" t="str">
        <f>IFERROR(__xludf.DUMMYFUNCTION("""COMPUTED_VALUE"""),"Третьеиюньская монархия")</f>
        <v>Третьеиюньская монархия</v>
      </c>
      <c r="L40" s="1">
        <f>IFERROR(__xludf.DUMMYFUNCTION("""COMPUTED_VALUE"""),539.0)</f>
        <v>539</v>
      </c>
      <c r="M40" s="1" t="str">
        <f>IFERROR(__xludf.DUMMYFUNCTION("""COMPUTED_VALUE"""),"Причины изменения внешней политики 1930-х")</f>
        <v>Причины изменения внешней политики 1930-х</v>
      </c>
      <c r="N40" s="1">
        <f>IFERROR(__xludf.DUMMYFUNCTION("""COMPUTED_VALUE"""),639.0)</f>
        <v>639</v>
      </c>
      <c r="O40" s="1" t="str">
        <f>IFERROR(__xludf.DUMMYFUNCTION("""COMPUTED_VALUE"""),"Культура при Брежневе")</f>
        <v>Культура при Брежневе</v>
      </c>
      <c r="P40" s="1">
        <f>IFERROR(__xludf.DUMMYFUNCTION("""COMPUTED_VALUE"""),739.0)</f>
        <v>739</v>
      </c>
      <c r="Q40" s="1"/>
      <c r="R40" s="1"/>
      <c r="S40" s="1" t="str">
        <f>IFERROR(__xludf.DUMMYFUNCTION("""COMPUTED_VALUE"""),"Мировая система социализма: зарождение, основные этапы развития")</f>
        <v>Мировая система социализма: зарождение, основные этапы развития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IFERROR(__xludf.DUMMYFUNCTION("""COMPUTED_VALUE"""),"Поучение детям. Нестор, ПВЛ")</f>
        <v>Поучение детям. Нестор, ПВЛ</v>
      </c>
      <c r="B41" s="1">
        <f>IFERROR(__xludf.DUMMYFUNCTION("""COMPUTED_VALUE"""),40.0)</f>
        <v>40</v>
      </c>
      <c r="C41" s="1" t="str">
        <f>IFERROR(__xludf.DUMMYFUNCTION("""COMPUTED_VALUE"""),"Живопись/Иконопись 12-14 вв")</f>
        <v>Живопись/Иконопись 12-14 вв</v>
      </c>
      <c r="D41" s="1">
        <f>IFERROR(__xludf.DUMMYFUNCTION("""COMPUTED_VALUE"""),140.0)</f>
        <v>140</v>
      </c>
      <c r="E41" s="1" t="str">
        <f>IFERROR(__xludf.DUMMYFUNCTION("""COMPUTED_VALUE"""),"Интервенция")</f>
        <v>Интервенция</v>
      </c>
      <c r="F41" s="1">
        <f>IFERROR(__xludf.DUMMYFUNCTION("""COMPUTED_VALUE"""),240.0)</f>
        <v>240</v>
      </c>
      <c r="G41" s="1" t="str">
        <f>IFERROR(__xludf.DUMMYFUNCTION("""COMPUTED_VALUE"""),"Причины дворцовых переворотов")</f>
        <v>Причины дворцовых переворотов</v>
      </c>
      <c r="H41" s="1">
        <f>IFERROR(__xludf.DUMMYFUNCTION("""COMPUTED_VALUE"""),340.0)</f>
        <v>340</v>
      </c>
      <c r="I41" s="1" t="str">
        <f>IFERROR(__xludf.DUMMYFUNCTION("""COMPUTED_VALUE"""),"Русско-иранская война 1804–1813")</f>
        <v>Русско-иранская война 1804–1813</v>
      </c>
      <c r="J41" s="1">
        <f>IFERROR(__xludf.DUMMYFUNCTION("""COMPUTED_VALUE"""),440.0)</f>
        <v>440</v>
      </c>
      <c r="K41" s="1" t="str">
        <f>IFERROR(__xludf.DUMMYFUNCTION("""COMPUTED_VALUE"""),"Итоги революции  1905-1907")</f>
        <v>Итоги революции  1905-1907</v>
      </c>
      <c r="L41" s="1">
        <f>IFERROR(__xludf.DUMMYFUNCTION("""COMPUTED_VALUE"""),540.0)</f>
        <v>540</v>
      </c>
      <c r="M41" s="1" t="str">
        <f>IFERROR(__xludf.DUMMYFUNCTION("""COMPUTED_VALUE"""),"Англия и Франция: умиротворение агрессора")</f>
        <v>Англия и Франция: умиротворение агрессора</v>
      </c>
      <c r="N41" s="1">
        <f>IFERROR(__xludf.DUMMYFUNCTION("""COMPUTED_VALUE"""),640.0)</f>
        <v>640</v>
      </c>
      <c r="O41" s="1" t="str">
        <f>IFERROR(__xludf.DUMMYFUNCTION("""COMPUTED_VALUE"""),"План интенсивного развития экономики")</f>
        <v>План интенсивного развития экономики</v>
      </c>
      <c r="P41" s="1">
        <f>IFERROR(__xludf.DUMMYFUNCTION("""COMPUTED_VALUE"""),740.0)</f>
        <v>740</v>
      </c>
      <c r="Q41" s="1"/>
      <c r="R41" s="1"/>
      <c r="S41" s="1" t="str">
        <f>IFERROR(__xludf.DUMMYFUNCTION("""COMPUTED_VALUE"""),"Холодная война и её влияние на послевоенный мир")</f>
        <v>Холодная война и её влияние на послевоенный мир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IFERROR(__xludf.DUMMYFUNCTION("""COMPUTED_VALUE"""),"Княжение Мстислава Великого")</f>
        <v>Княжение Мстислава Великого</v>
      </c>
      <c r="B42" s="1">
        <f>IFERROR(__xludf.DUMMYFUNCTION("""COMPUTED_VALUE"""),41.0)</f>
        <v>41</v>
      </c>
      <c r="C42" s="1" t="str">
        <f>IFERROR(__xludf.DUMMYFUNCTION("""COMPUTED_VALUE"""),"Политика Василия Первого")</f>
        <v>Политика Василия Первого</v>
      </c>
      <c r="D42" s="1">
        <f>IFERROR(__xludf.DUMMYFUNCTION("""COMPUTED_VALUE"""),141.0)</f>
        <v>141</v>
      </c>
      <c r="E42" s="1" t="str">
        <f>IFERROR(__xludf.DUMMYFUNCTION("""COMPUTED_VALUE"""),"Первое ополчение 1611")</f>
        <v>Первое ополчение 1611</v>
      </c>
      <c r="F42" s="1">
        <f>IFERROR(__xludf.DUMMYFUNCTION("""COMPUTED_VALUE"""),241.0)</f>
        <v>241</v>
      </c>
      <c r="G42" s="1" t="str">
        <f>IFERROR(__xludf.DUMMYFUNCTION("""COMPUTED_VALUE"""),"Открытие Академии наук")</f>
        <v>Открытие Академии наук</v>
      </c>
      <c r="H42" s="1">
        <f>IFERROR(__xludf.DUMMYFUNCTION("""COMPUTED_VALUE"""),341.0)</f>
        <v>341</v>
      </c>
      <c r="I42" s="1" t="str">
        <f>IFERROR(__xludf.DUMMYFUNCTION("""COMPUTED_VALUE"""),"Русско-турецкая война 1806-1812")</f>
        <v>Русско-турецкая война 1806-1812</v>
      </c>
      <c r="J42" s="1">
        <f>IFERROR(__xludf.DUMMYFUNCTION("""COMPUTED_VALUE"""),441.0)</f>
        <v>441</v>
      </c>
      <c r="K42" s="1" t="str">
        <f>IFERROR(__xludf.DUMMYFUNCTION("""COMPUTED_VALUE"""),"Реформы Столыпина")</f>
        <v>Реформы Столыпина</v>
      </c>
      <c r="L42" s="1">
        <f>IFERROR(__xludf.DUMMYFUNCTION("""COMPUTED_VALUE"""),541.0)</f>
        <v>541</v>
      </c>
      <c r="M42" s="1" t="str">
        <f>IFERROR(__xludf.DUMMYFUNCTION("""COMPUTED_VALUE"""),"Политика Сталина с востоком
")</f>
        <v>Политика Сталина с востоком
</v>
      </c>
      <c r="N42" s="1">
        <f>IFERROR(__xludf.DUMMYFUNCTION("""COMPUTED_VALUE"""),641.0)</f>
        <v>641</v>
      </c>
      <c r="O42" s="1" t="str">
        <f>IFERROR(__xludf.DUMMYFUNCTION("""COMPUTED_VALUE"""),"«Хлопковое дело»")</f>
        <v>«Хлопковое дело»</v>
      </c>
      <c r="P42" s="1">
        <f>IFERROR(__xludf.DUMMYFUNCTION("""COMPUTED_VALUE"""),741.0)</f>
        <v>741</v>
      </c>
      <c r="Q42" s="1"/>
      <c r="R42" s="1"/>
      <c r="S42" s="1" t="str">
        <f>IFERROR(__xludf.DUMMYFUNCTION("""COMPUTED_VALUE"""),"Научно-техническая революция и её воздействие на развитие экономики, культуры и повседневной жизни")</f>
        <v>Научно-техническая революция и её воздействие на развитие экономики, культуры и повседневной жизни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IFERROR(__xludf.DUMMYFUNCTION("""COMPUTED_VALUE"""),"Характерные черты культуры Древней Руси.")</f>
        <v>Характерные черты культуры Древней Руси.</v>
      </c>
      <c r="B43" s="1">
        <f>IFERROR(__xludf.DUMMYFUNCTION("""COMPUTED_VALUE"""),42.0)</f>
        <v>42</v>
      </c>
      <c r="C43" s="1" t="str">
        <f>IFERROR(__xludf.DUMMYFUNCTION("""COMPUTED_VALUE"""),"Жена Софья Витовтовна")</f>
        <v>Жена Софья Витовтовна</v>
      </c>
      <c r="D43" s="1">
        <f>IFERROR(__xludf.DUMMYFUNCTION("""COMPUTED_VALUE"""),142.0)</f>
        <v>142</v>
      </c>
      <c r="E43" s="1" t="str">
        <f>IFERROR(__xludf.DUMMYFUNCTION("""COMPUTED_VALUE"""),"Второе ополчение 1611-1612")</f>
        <v>Второе ополчение 1611-1612</v>
      </c>
      <c r="F43" s="1">
        <f>IFERROR(__xludf.DUMMYFUNCTION("""COMPUTED_VALUE"""),242.0)</f>
        <v>242</v>
      </c>
      <c r="G43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H43" s="1">
        <f>IFERROR(__xludf.DUMMYFUNCTION("""COMPUTED_VALUE"""),342.0)</f>
        <v>342</v>
      </c>
      <c r="I43" s="1" t="str">
        <f>IFERROR(__xludf.DUMMYFUNCTION("""COMPUTED_VALUE"""),"Русско-шведская война 1808-1809")</f>
        <v>Русско-шведская война 1808-1809</v>
      </c>
      <c r="J43" s="1">
        <f>IFERROR(__xludf.DUMMYFUNCTION("""COMPUTED_VALUE"""),442.0)</f>
        <v>442</v>
      </c>
      <c r="K43" s="1" t="str">
        <f>IFERROR(__xludf.DUMMYFUNCTION("""COMPUTED_VALUE"""),"Столыпинская аграрная реформа")</f>
        <v>Столыпинская аграрная реформа</v>
      </c>
      <c r="L43" s="1">
        <f>IFERROR(__xludf.DUMMYFUNCTION("""COMPUTED_VALUE"""),542.0)</f>
        <v>542</v>
      </c>
      <c r="M43" s="1" t="str">
        <f>IFERROR(__xludf.DUMMYFUNCTION("""COMPUTED_VALUE"""),"Пакт Молотова-Риббентропа")</f>
        <v>Пакт Молотова-Риббентропа</v>
      </c>
      <c r="N43" s="1">
        <f>IFERROR(__xludf.DUMMYFUNCTION("""COMPUTED_VALUE"""),642.0)</f>
        <v>642</v>
      </c>
      <c r="O43" s="1" t="str">
        <f>IFERROR(__xludf.DUMMYFUNCTION("""COMPUTED_VALUE"""),"Обострение Холодной войны")</f>
        <v>Обострение Холодной войны</v>
      </c>
      <c r="P43" s="1">
        <f>IFERROR(__xludf.DUMMYFUNCTION("""COMPUTED_VALUE"""),742.0)</f>
        <v>742</v>
      </c>
      <c r="Q43" s="1"/>
      <c r="R43" s="1"/>
      <c r="S43" s="1" t="str">
        <f>IFERROR(__xludf.DUMMYFUNCTION("""COMPUTED_VALUE"""),"Современный мир в условиях глобализации.")</f>
        <v>Современный мир в условиях глобализации.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IFERROR(__xludf.DUMMYFUNCTION("""COMPUTED_VALUE"""),"Категории населения в Древней Руси")</f>
        <v>Категории населения в Древней Руси</v>
      </c>
      <c r="B44" s="1">
        <f>IFERROR(__xludf.DUMMYFUNCTION("""COMPUTED_VALUE"""),43.0)</f>
        <v>43</v>
      </c>
      <c r="C44" s="1" t="str">
        <f>IFERROR(__xludf.DUMMYFUNCTION("""COMPUTED_VALUE"""),"Стояние на р.Угре 1408")</f>
        <v>Стояние на р.Угре 1408</v>
      </c>
      <c r="D44" s="1">
        <f>IFERROR(__xludf.DUMMYFUNCTION("""COMPUTED_VALUE"""),143.0)</f>
        <v>143</v>
      </c>
      <c r="E44" s="1" t="str">
        <f>IFERROR(__xludf.DUMMYFUNCTION("""COMPUTED_VALUE"""),"Освобождение Москвы")</f>
        <v>Освобождение Москвы</v>
      </c>
      <c r="F44" s="1">
        <f>IFERROR(__xludf.DUMMYFUNCTION("""COMPUTED_VALUE"""),243.0)</f>
        <v>243</v>
      </c>
      <c r="G44" s="1" t="str">
        <f>IFERROR(__xludf.DUMMYFUNCTION("""COMPUTED_VALUE"""),"Обстановка при Петре Втором")</f>
        <v>Обстановка при Петре Втором</v>
      </c>
      <c r="H44" s="1">
        <f>IFERROR(__xludf.DUMMYFUNCTION("""COMPUTED_VALUE"""),343.0)</f>
        <v>343</v>
      </c>
      <c r="I44" s="1" t="str">
        <f>IFERROR(__xludf.DUMMYFUNCTION("""COMPUTED_VALUE"""),"Личность Николая I")</f>
        <v>Личность Николая I</v>
      </c>
      <c r="J44" s="1">
        <f>IFERROR(__xludf.DUMMYFUNCTION("""COMPUTED_VALUE"""),443.0)</f>
        <v>443</v>
      </c>
      <c r="K44" s="1" t="str">
        <f>IFERROR(__xludf.DUMMYFUNCTION("""COMPUTED_VALUE"""),"Предпосылки к новой революции")</f>
        <v>Предпосылки к новой революции</v>
      </c>
      <c r="L44" s="1">
        <f>IFERROR(__xludf.DUMMYFUNCTION("""COMPUTED_VALUE"""),543.0)</f>
        <v>543</v>
      </c>
      <c r="M44" s="1" t="str">
        <f>IFERROR(__xludf.DUMMYFUNCTION("""COMPUTED_VALUE"""),"Советско-финляндская война")</f>
        <v>Советско-финляндская война</v>
      </c>
      <c r="N44" s="1">
        <f>IFERROR(__xludf.DUMMYFUNCTION("""COMPUTED_VALUE"""),643.0)</f>
        <v>643</v>
      </c>
      <c r="O44" s="1" t="str">
        <f>IFERROR(__xludf.DUMMYFUNCTION("""COMPUTED_VALUE"""),"Бойкот олимпийских игр в Лос-Анджелесе")</f>
        <v>Бойкот олимпийских игр в Лос-Анджелесе</v>
      </c>
      <c r="P44" s="1">
        <f>IFERROR(__xludf.DUMMYFUNCTION("""COMPUTED_VALUE"""),743.0)</f>
        <v>743</v>
      </c>
      <c r="Q44" s="1"/>
      <c r="R44" s="1"/>
      <c r="S44" s="1" t="str">
        <f>IFERROR(__xludf.DUMMYFUNCTION("""COMPUTED_VALUE"""),"Крестовые походы")</f>
        <v>Крестовые походы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IFERROR(__xludf.DUMMYFUNCTION("""COMPUTED_VALUE"""),"Христианская культура")</f>
        <v>Христианская культура</v>
      </c>
      <c r="B45" s="1">
        <f>IFERROR(__xludf.DUMMYFUNCTION("""COMPUTED_VALUE"""),44.0)</f>
        <v>44</v>
      </c>
      <c r="C45" s="1" t="str">
        <f>IFERROR(__xludf.DUMMYFUNCTION("""COMPUTED_VALUE"""),"Едигеева рать")</f>
        <v>Едигеева рать</v>
      </c>
      <c r="D45" s="1">
        <f>IFERROR(__xludf.DUMMYFUNCTION("""COMPUTED_VALUE"""),144.0)</f>
        <v>144</v>
      </c>
      <c r="E45" s="1" t="str">
        <f>IFERROR(__xludf.DUMMYFUNCTION("""COMPUTED_VALUE"""),"Земский собор 1613 г. Претенденты на власть в 1613 г.")</f>
        <v>Земский собор 1613 г. Претенденты на власть в 1613 г.</v>
      </c>
      <c r="F45" s="1">
        <f>IFERROR(__xludf.DUMMYFUNCTION("""COMPUTED_VALUE"""),244.0)</f>
        <v>244</v>
      </c>
      <c r="G45" s="1" t="str">
        <f>IFERROR(__xludf.DUMMYFUNCTION("""COMPUTED_VALUE"""),"Экспедиция Беринга")</f>
        <v>Экспедиция Беринга</v>
      </c>
      <c r="H45" s="1">
        <f>IFERROR(__xludf.DUMMYFUNCTION("""COMPUTED_VALUE"""),344.0)</f>
        <v>344</v>
      </c>
      <c r="I45" s="1" t="str">
        <f>IFERROR(__xludf.DUMMYFUNCTION("""COMPUTED_VALUE"""),"СЕИВК (Собственная Его Императорского Величества канцелярия)")</f>
        <v>СЕИВК (Собственная Его Императорского Величества канцелярия)</v>
      </c>
      <c r="J45" s="1">
        <f>IFERROR(__xludf.DUMMYFUNCTION("""COMPUTED_VALUE"""),444.0)</f>
        <v>444</v>
      </c>
      <c r="K45" s="1" t="str">
        <f>IFERROR(__xludf.DUMMYFUNCTION("""COMPUTED_VALUE"""),"Внешняя политика Николая II")</f>
        <v>Внешняя политика Николая II</v>
      </c>
      <c r="L45" s="1">
        <f>IFERROR(__xludf.DUMMYFUNCTION("""COMPUTED_VALUE"""),544.0)</f>
        <v>544</v>
      </c>
      <c r="M45" s="1" t="str">
        <f>IFERROR(__xludf.DUMMYFUNCTION("""COMPUTED_VALUE"""),"Великая Отечественная война")</f>
        <v>Великая Отечественная война</v>
      </c>
      <c r="N45" s="1">
        <f>IFERROR(__xludf.DUMMYFUNCTION("""COMPUTED_VALUE"""),644.0)</f>
        <v>644</v>
      </c>
      <c r="O45" s="1" t="str">
        <f>IFERROR(__xludf.DUMMYFUNCTION("""COMPUTED_VALUE"""),"Начало разговоров об ускорении")</f>
        <v>Начало разговоров об ускорении</v>
      </c>
      <c r="P45" s="1">
        <f>IFERROR(__xludf.DUMMYFUNCTION("""COMPUTED_VALUE"""),744.0)</f>
        <v>744</v>
      </c>
      <c r="Q45" s="1"/>
      <c r="R45" s="1"/>
      <c r="S45" s="1" t="str">
        <f>IFERROR(__xludf.DUMMYFUNCTION("""COMPUTED_VALUE"""),"Бархатные революции")</f>
        <v>Бархатные революции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IFERROR(__xludf.DUMMYFUNCTION("""COMPUTED_VALUE"""),"Заключение династических браков ")</f>
        <v>Заключение династических браков </v>
      </c>
      <c r="B46" s="1">
        <f>IFERROR(__xludf.DUMMYFUNCTION("""COMPUTED_VALUE"""),45.0)</f>
        <v>45</v>
      </c>
      <c r="C46" s="1" t="str">
        <f>IFERROR(__xludf.DUMMYFUNCTION("""COMPUTED_VALUE"""),"Феодальная война второй четверти XV века")</f>
        <v>Феодальная война второй четверти XV века</v>
      </c>
      <c r="D46" s="1">
        <f>IFERROR(__xludf.DUMMYFUNCTION("""COMPUTED_VALUE"""),145.0)</f>
        <v>145</v>
      </c>
      <c r="E46" s="1" t="str">
        <f>IFERROR(__xludf.DUMMYFUNCTION("""COMPUTED_VALUE"""),"Последствия Смуты")</f>
        <v>Последствия Смуты</v>
      </c>
      <c r="F46" s="1">
        <f>IFERROR(__xludf.DUMMYFUNCTION("""COMPUTED_VALUE"""),245.0)</f>
        <v>245</v>
      </c>
      <c r="G46" s="1" t="str">
        <f>IFERROR(__xludf.DUMMYFUNCTION("""COMPUTED_VALUE"""),"Приход Анны Иоанновны к власти")</f>
        <v>Приход Анны Иоанновны к власти</v>
      </c>
      <c r="H46" s="1">
        <f>IFERROR(__xludf.DUMMYFUNCTION("""COMPUTED_VALUE"""),345.0)</f>
        <v>345</v>
      </c>
      <c r="I46" s="1" t="str">
        <f>IFERROR(__xludf.DUMMYFUNCTION("""COMPUTED_VALUE"""),"Усиление цензуры при Николае I")</f>
        <v>Усиление цензуры при Николае I</v>
      </c>
      <c r="J46" s="1">
        <f>IFERROR(__xludf.DUMMYFUNCTION("""COMPUTED_VALUE"""),445.0)</f>
        <v>445</v>
      </c>
      <c r="K46" s="1" t="str">
        <f>IFERROR(__xludf.DUMMYFUNCTION("""COMPUTED_VALUE"""),"Военно-политические блоки")</f>
        <v>Военно-политические блоки</v>
      </c>
      <c r="L46" s="1">
        <f>IFERROR(__xludf.DUMMYFUNCTION("""COMPUTED_VALUE"""),545.0)</f>
        <v>545</v>
      </c>
      <c r="M46" s="1" t="str">
        <f>IFERROR(__xludf.DUMMYFUNCTION("""COMPUTED_VALUE"""),"Причины ВОВ")</f>
        <v>Причины ВОВ</v>
      </c>
      <c r="N46" s="1">
        <f>IFERROR(__xludf.DUMMYFUNCTION("""COMPUTED_VALUE"""),645.0)</f>
        <v>645</v>
      </c>
      <c r="O46" s="1" t="str">
        <f>IFERROR(__xludf.DUMMYFUNCTION("""COMPUTED_VALUE"""),"Предпосылки перестройки")</f>
        <v>Предпосылки перестройки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IFERROR(__xludf.DUMMYFUNCTION("""COMPUTED_VALUE"""),"Битва на Трубеже")</f>
        <v>Битва на Трубеже</v>
      </c>
      <c r="B47" s="1">
        <f>IFERROR(__xludf.DUMMYFUNCTION("""COMPUTED_VALUE"""),46.0)</f>
        <v>46</v>
      </c>
      <c r="C47" s="1" t="str">
        <f>IFERROR(__xludf.DUMMYFUNCTION("""COMPUTED_VALUE"""),"Флорентийская уния")</f>
        <v>Флорентийская уния</v>
      </c>
      <c r="D47" s="1">
        <f>IFERROR(__xludf.DUMMYFUNCTION("""COMPUTED_VALUE"""),146.0)</f>
        <v>146</v>
      </c>
      <c r="E47" s="1" t="str">
        <f>IFERROR(__xludf.DUMMYFUNCTION("""COMPUTED_VALUE"""),"Особенности культуры 15 – 16 вв")</f>
        <v>Особенности культуры 15 – 16 вв</v>
      </c>
      <c r="F47" s="1">
        <f>IFERROR(__xludf.DUMMYFUNCTION("""COMPUTED_VALUE"""),246.0)</f>
        <v>246</v>
      </c>
      <c r="G47" s="1" t="str">
        <f>IFERROR(__xludf.DUMMYFUNCTION("""COMPUTED_VALUE"""),"Бироновщина")</f>
        <v>Бироновщина</v>
      </c>
      <c r="H47" s="1">
        <f>IFERROR(__xludf.DUMMYFUNCTION("""COMPUTED_VALUE"""),346.0)</f>
        <v>346</v>
      </c>
      <c r="I47" s="1" t="str">
        <f>IFERROR(__xludf.DUMMYFUNCTION("""COMPUTED_VALUE"""),"Бунты при Николае I")</f>
        <v>Бунты при Николае I</v>
      </c>
      <c r="J47" s="1">
        <f>IFERROR(__xludf.DUMMYFUNCTION("""COMPUTED_VALUE"""),446.0)</f>
        <v>446</v>
      </c>
      <c r="K47" s="1" t="str">
        <f>IFERROR(__xludf.DUMMYFUNCTION("""COMPUTED_VALUE"""),"Причины Первой мировой войны")</f>
        <v>Причины Первой мировой войны</v>
      </c>
      <c r="L47" s="1">
        <f>IFERROR(__xludf.DUMMYFUNCTION("""COMPUTED_VALUE"""),546.0)</f>
        <v>546</v>
      </c>
      <c r="M47" s="1" t="str">
        <f>IFERROR(__xludf.DUMMYFUNCTION("""COMPUTED_VALUE"""),"Планы и союзники Германии")</f>
        <v>Планы и союзники Германии</v>
      </c>
      <c r="N47" s="1">
        <f>IFERROR(__xludf.DUMMYFUNCTION("""COMPUTED_VALUE"""),646.0)</f>
        <v>646</v>
      </c>
      <c r="O47" s="1" t="str">
        <f>IFERROR(__xludf.DUMMYFUNCTION("""COMPUTED_VALUE"""),"Этапы перестройки")</f>
        <v>Этапы перестройки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 t="str">
        <f>IFERROR(__xludf.DUMMYFUNCTION("""COMPUTED_VALUE"""),"Автокефалия РПЦ")</f>
        <v>Автокефалия РПЦ</v>
      </c>
      <c r="D48" s="1">
        <f>IFERROR(__xludf.DUMMYFUNCTION("""COMPUTED_VALUE"""),147.0)</f>
        <v>147</v>
      </c>
      <c r="E48" s="1" t="str">
        <f>IFERROR(__xludf.DUMMYFUNCTION("""COMPUTED_VALUE"""),"Литература 15 – 16 вв")</f>
        <v>Литература 15 – 16 вв</v>
      </c>
      <c r="F48" s="1">
        <f>IFERROR(__xludf.DUMMYFUNCTION("""COMPUTED_VALUE"""),247.0)</f>
        <v>247</v>
      </c>
      <c r="G48" s="1" t="str">
        <f>IFERROR(__xludf.DUMMYFUNCTION("""COMPUTED_VALUE"""),"Внутренняя политика Анны Иоанновной")</f>
        <v>Внутренняя политика Анны Иоанновной</v>
      </c>
      <c r="H48" s="1">
        <f>IFERROR(__xludf.DUMMYFUNCTION("""COMPUTED_VALUE"""),347.0)</f>
        <v>347</v>
      </c>
      <c r="I48" s="1" t="str">
        <f>IFERROR(__xludf.DUMMYFUNCTION("""COMPUTED_VALUE"""),"Секретный комитет")</f>
        <v>Секретный комитет</v>
      </c>
      <c r="J48" s="1">
        <f>IFERROR(__xludf.DUMMYFUNCTION("""COMPUTED_VALUE"""),447.0)</f>
        <v>447</v>
      </c>
      <c r="K48" s="1" t="str">
        <f>IFERROR(__xludf.DUMMYFUNCTION("""COMPUTED_VALUE"""),"Первая мировая война")</f>
        <v>Первая мировая война</v>
      </c>
      <c r="L48" s="1">
        <f>IFERROR(__xludf.DUMMYFUNCTION("""COMPUTED_VALUE"""),547.0)</f>
        <v>547</v>
      </c>
      <c r="M48" s="1" t="str">
        <f>IFERROR(__xludf.DUMMYFUNCTION("""COMPUTED_VALUE"""),"Начальный этап войны")</f>
        <v>Начальный этап войны</v>
      </c>
      <c r="N48" s="1">
        <f>IFERROR(__xludf.DUMMYFUNCTION("""COMPUTED_VALUE"""),647.0)</f>
        <v>647</v>
      </c>
      <c r="O48" s="1" t="str">
        <f>IFERROR(__xludf.DUMMYFUNCTION("""COMPUTED_VALUE"""),"Гласность")</f>
        <v>Гласность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 t="str">
        <f>IFERROR(__xludf.DUMMYFUNCTION("""COMPUTED_VALUE"""),"Поход на Новгород")</f>
        <v>Поход на Новгород</v>
      </c>
      <c r="D49" s="1">
        <f>IFERROR(__xludf.DUMMYFUNCTION("""COMPUTED_VALUE"""),148.0)</f>
        <v>148</v>
      </c>
      <c r="E49" s="1" t="str">
        <f>IFERROR(__xludf.DUMMYFUNCTION("""COMPUTED_VALUE"""),"Архитектура 15 – 16 вв")</f>
        <v>Архитектура 15 – 16 вв</v>
      </c>
      <c r="F49" s="1">
        <f>IFERROR(__xludf.DUMMYFUNCTION("""COMPUTED_VALUE"""),248.0)</f>
        <v>248</v>
      </c>
      <c r="G49" s="1" t="str">
        <f>IFERROR(__xludf.DUMMYFUNCTION("""COMPUTED_VALUE"""),"Внешняя политика Анны Иоанновны")</f>
        <v>Внешняя политика Анны Иоанновны</v>
      </c>
      <c r="H49" s="1">
        <f>IFERROR(__xludf.DUMMYFUNCTION("""COMPUTED_VALUE"""),348.0)</f>
        <v>348</v>
      </c>
      <c r="I49" s="1" t="str">
        <f>IFERROR(__xludf.DUMMYFUNCTION("""COMPUTED_VALUE"""),"Крестьянский вопрос при Николае I")</f>
        <v>Крестьянский вопрос при Николае I</v>
      </c>
      <c r="J49" s="1">
        <f>IFERROR(__xludf.DUMMYFUNCTION("""COMPUTED_VALUE"""),448.0)</f>
        <v>448</v>
      </c>
      <c r="K49" s="1" t="str">
        <f>IFERROR(__xludf.DUMMYFUNCTION("""COMPUTED_VALUE"""),"Итоги Первой мировой войны")</f>
        <v>Итоги Первой мировой войны</v>
      </c>
      <c r="L49" s="1">
        <f>IFERROR(__xludf.DUMMYFUNCTION("""COMPUTED_VALUE"""),548.0)</f>
        <v>548</v>
      </c>
      <c r="M49" s="1" t="str">
        <f>IFERROR(__xludf.DUMMYFUNCTION("""COMPUTED_VALUE"""),"Московская битва")</f>
        <v>Московская битва</v>
      </c>
      <c r="N49" s="1">
        <f>IFERROR(__xludf.DUMMYFUNCTION("""COMPUTED_VALUE"""),648.0)</f>
        <v>648</v>
      </c>
      <c r="O49" s="1" t="str">
        <f>IFERROR(__xludf.DUMMYFUNCTION("""COMPUTED_VALUE"""),"Последствия гласности")</f>
        <v>Последствия гласности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 t="str">
        <f>IFERROR(__xludf.DUMMYFUNCTION("""COMPUTED_VALUE"""),"Распад Золотой Орды")</f>
        <v>Распад Золотой Орды</v>
      </c>
      <c r="D50" s="1">
        <f>IFERROR(__xludf.DUMMYFUNCTION("""COMPUTED_VALUE"""),149.0)</f>
        <v>149</v>
      </c>
      <c r="E50" s="1" t="str">
        <f>IFERROR(__xludf.DUMMYFUNCTION("""COMPUTED_VALUE"""),"Живопись 15 – 16 вв")</f>
        <v>Живопись 15 – 16 вв</v>
      </c>
      <c r="F50" s="1">
        <f>IFERROR(__xludf.DUMMYFUNCTION("""COMPUTED_VALUE"""),249.0)</f>
        <v>249</v>
      </c>
      <c r="G50" s="1" t="str">
        <f>IFERROR(__xludf.DUMMYFUNCTION("""COMPUTED_VALUE"""),"Причины дворцового переворота 1741")</f>
        <v>Причины дворцового переворота 1741</v>
      </c>
      <c r="H50" s="1">
        <f>IFERROR(__xludf.DUMMYFUNCTION("""COMPUTED_VALUE"""),349.0)</f>
        <v>349</v>
      </c>
      <c r="I50" s="1" t="str">
        <f>IFERROR(__xludf.DUMMYFUNCTION("""COMPUTED_VALUE"""),"Мрачное семилетие")</f>
        <v>Мрачное семилетие</v>
      </c>
      <c r="J50" s="1">
        <f>IFERROR(__xludf.DUMMYFUNCTION("""COMPUTED_VALUE"""),449.0)</f>
        <v>449</v>
      </c>
      <c r="K50" s="1" t="str">
        <f>IFERROR(__xludf.DUMMYFUNCTION("""COMPUTED_VALUE"""),"Причины Февральской революции")</f>
        <v>Причины Февральской революции</v>
      </c>
      <c r="L50" s="1">
        <f>IFERROR(__xludf.DUMMYFUNCTION("""COMPUTED_VALUE"""),549.0)</f>
        <v>549</v>
      </c>
      <c r="M50" s="1" t="str">
        <f>IFERROR(__xludf.DUMMYFUNCTION("""COMPUTED_VALUE"""),"Блокада Ленинграда")</f>
        <v>Блокада Ленинграда</v>
      </c>
      <c r="N50" s="1">
        <f>IFERROR(__xludf.DUMMYFUNCTION("""COMPUTED_VALUE"""),649.0)</f>
        <v>649</v>
      </c>
      <c r="O50" s="1" t="str">
        <f>IFERROR(__xludf.DUMMYFUNCTION("""COMPUTED_VALUE"""),"Политика в области партии")</f>
        <v>Политика в области партии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 t="str">
        <f>IFERROR(__xludf.DUMMYFUNCTION("""COMPUTED_VALUE"""),"Присоединение земель к Москве при Иване Третьем")</f>
        <v>Присоединение земель к Москве при Иване Третьем</v>
      </c>
      <c r="D51" s="1">
        <f>IFERROR(__xludf.DUMMYFUNCTION("""COMPUTED_VALUE"""),150.0)</f>
        <v>150</v>
      </c>
      <c r="E51" s="1" t="str">
        <f>IFERROR(__xludf.DUMMYFUNCTION("""COMPUTED_VALUE"""),"Митрополиты (Иларион-Филипп)")</f>
        <v>Митрополиты (Иларион-Филипп)</v>
      </c>
      <c r="F51" s="1">
        <f>IFERROR(__xludf.DUMMYFUNCTION("""COMPUTED_VALUE"""),250.0)</f>
        <v>250</v>
      </c>
      <c r="G51" s="1" t="str">
        <f>IFERROR(__xludf.DUMMYFUNCTION("""COMPUTED_VALUE"""),"Личность Елизаветы Петровны")</f>
        <v>Личность Елизаветы Петровны</v>
      </c>
      <c r="H51" s="1">
        <f>IFERROR(__xludf.DUMMYFUNCTION("""COMPUTED_VALUE"""),350.0)</f>
        <v>350</v>
      </c>
      <c r="I51" s="1" t="str">
        <f>IFERROR(__xludf.DUMMYFUNCTION("""COMPUTED_VALUE"""),"Русско-иранская война 1826-1828")</f>
        <v>Русско-иранская война 1826-1828</v>
      </c>
      <c r="J51" s="1">
        <f>IFERROR(__xludf.DUMMYFUNCTION("""COMPUTED_VALUE"""),450.0)</f>
        <v>450</v>
      </c>
      <c r="K51" s="1" t="str">
        <f>IFERROR(__xludf.DUMMYFUNCTION("""COMPUTED_VALUE"""),"Февральская революция")</f>
        <v>Февральская революция</v>
      </c>
      <c r="L51" s="1">
        <f>IFERROR(__xludf.DUMMYFUNCTION("""COMPUTED_VALUE"""),550.0)</f>
        <v>550</v>
      </c>
      <c r="M51" s="1" t="str">
        <f>IFERROR(__xludf.DUMMYFUNCTION("""COMPUTED_VALUE"""),"Битва за Крым")</f>
        <v>Битва за Крым</v>
      </c>
      <c r="N51" s="1">
        <f>IFERROR(__xludf.DUMMYFUNCTION("""COMPUTED_VALUE"""),650.0)</f>
        <v>650</v>
      </c>
      <c r="O51" s="1" t="str">
        <f>IFERROR(__xludf.DUMMYFUNCTION("""COMPUTED_VALUE"""),"XIX конференция КПСС")</f>
        <v>XIX конференция КПСС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 t="str">
        <f>IFERROR(__xludf.DUMMYFUNCTION("""COMPUTED_VALUE"""),"Стояние на р.Угре")</f>
        <v>Стояние на р.Угре</v>
      </c>
      <c r="D52" s="1">
        <f>IFERROR(__xludf.DUMMYFUNCTION("""COMPUTED_VALUE"""),151.0)</f>
        <v>151</v>
      </c>
      <c r="E52" s="1"/>
      <c r="F52" s="1"/>
      <c r="G52" s="1" t="str">
        <f>IFERROR(__xludf.DUMMYFUNCTION("""COMPUTED_VALUE"""),"Экономическая политика Елизаветы")</f>
        <v>Экономическая политика Елизаветы</v>
      </c>
      <c r="H52" s="1">
        <f>IFERROR(__xludf.DUMMYFUNCTION("""COMPUTED_VALUE"""),351.0)</f>
        <v>351</v>
      </c>
      <c r="I52" s="1" t="str">
        <f>IFERROR(__xludf.DUMMYFUNCTION("""COMPUTED_VALUE"""),"Кавказская война 1817-1864")</f>
        <v>Кавказская война 1817-1864</v>
      </c>
      <c r="J52" s="1">
        <f>IFERROR(__xludf.DUMMYFUNCTION("""COMPUTED_VALUE"""),451.0)</f>
        <v>451</v>
      </c>
      <c r="K52" s="1" t="str">
        <f>IFERROR(__xludf.DUMMYFUNCTION("""COMPUTED_VALUE"""),"Итог февральской революции")</f>
        <v>Итог февральской революции</v>
      </c>
      <c r="L52" s="1">
        <f>IFERROR(__xludf.DUMMYFUNCTION("""COMPUTED_VALUE"""),551.0)</f>
        <v>551</v>
      </c>
      <c r="M52" s="1" t="str">
        <f>IFERROR(__xludf.DUMMYFUNCTION("""COMPUTED_VALUE"""),"Сталинградская битва")</f>
        <v>Сталинградская битва</v>
      </c>
      <c r="N52" s="1">
        <f>IFERROR(__xludf.DUMMYFUNCTION("""COMPUTED_VALUE"""),651.0)</f>
        <v>651</v>
      </c>
      <c r="O52" s="1" t="str">
        <f>IFERROR(__xludf.DUMMYFUNCTION("""COMPUTED_VALUE"""),"Съезд народных депутатов")</f>
        <v>Съезд народных депутатов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 t="str">
        <f>IFERROR(__xludf.DUMMYFUNCTION("""COMPUTED_VALUE"""),"Судебник Ивана 3")</f>
        <v>Судебник Ивана 3</v>
      </c>
      <c r="D53" s="1">
        <f>IFERROR(__xludf.DUMMYFUNCTION("""COMPUTED_VALUE"""),152.0)</f>
        <v>152</v>
      </c>
      <c r="E53" s="1"/>
      <c r="F53" s="1"/>
      <c r="G53" s="1" t="str">
        <f>IFERROR(__xludf.DUMMYFUNCTION("""COMPUTED_VALUE"""),"Дарование льгот дворянству")</f>
        <v>Дарование льгот дворянству</v>
      </c>
      <c r="H53" s="1">
        <f>IFERROR(__xludf.DUMMYFUNCTION("""COMPUTED_VALUE"""),352.0)</f>
        <v>352</v>
      </c>
      <c r="I53" s="1" t="str">
        <f>IFERROR(__xludf.DUMMYFUNCTION("""COMPUTED_VALUE"""),"Русско-турецкая война 1828-1829")</f>
        <v>Русско-турецкая война 1828-1829</v>
      </c>
      <c r="J53" s="1">
        <f>IFERROR(__xludf.DUMMYFUNCTION("""COMPUTED_VALUE"""),452.0)</f>
        <v>452</v>
      </c>
      <c r="K53" s="1" t="str">
        <f>IFERROR(__xludf.DUMMYFUNCTION("""COMPUTED_VALUE"""),"Временное правительство")</f>
        <v>Временное правительство</v>
      </c>
      <c r="L53" s="1">
        <f>IFERROR(__xludf.DUMMYFUNCTION("""COMPUTED_VALUE"""),552.0)</f>
        <v>552</v>
      </c>
      <c r="M53" s="1" t="str">
        <f>IFERROR(__xludf.DUMMYFUNCTION("""COMPUTED_VALUE"""),"1943 г. – переломный год")</f>
        <v>1943 г. – переломный год</v>
      </c>
      <c r="N53" s="1">
        <f>IFERROR(__xludf.DUMMYFUNCTION("""COMPUTED_VALUE"""),652.0)</f>
        <v>652</v>
      </c>
      <c r="O53" s="1" t="str">
        <f>IFERROR(__xludf.DUMMYFUNCTION("""COMPUTED_VALUE"""),"Проекты о переходе к рынку")</f>
        <v>Проекты о переходе к рынку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 t="str">
        <f>IFERROR(__xludf.DUMMYFUNCTION("""COMPUTED_VALUE"""),"Борьба Иосифлян и Нестяжателей")</f>
        <v>Борьба Иосифлян и Нестяжателей</v>
      </c>
      <c r="D54" s="1">
        <f>IFERROR(__xludf.DUMMYFUNCTION("""COMPUTED_VALUE"""),153.0)</f>
        <v>153</v>
      </c>
      <c r="E54" s="1"/>
      <c r="F54" s="1"/>
      <c r="G54" s="1" t="str">
        <f>IFERROR(__xludf.DUMMYFUNCTION("""COMPUTED_VALUE"""),"Русско-Шведская война 1741-1743")</f>
        <v>Русско-Шведская война 1741-1743</v>
      </c>
      <c r="H54" s="1">
        <f>IFERROR(__xludf.DUMMYFUNCTION("""COMPUTED_VALUE"""),353.0)</f>
        <v>353</v>
      </c>
      <c r="I54" s="1" t="str">
        <f>IFERROR(__xludf.DUMMYFUNCTION("""COMPUTED_VALUE"""),"Крымская война")</f>
        <v>Крымская война</v>
      </c>
      <c r="J54" s="1">
        <f>IFERROR(__xludf.DUMMYFUNCTION("""COMPUTED_VALUE"""),453.0)</f>
        <v>453</v>
      </c>
      <c r="K54" s="1" t="str">
        <f>IFERROR(__xludf.DUMMYFUNCTION("""COMPUTED_VALUE"""),"Три кризиса Временного правительства")</f>
        <v>Три кризиса Временного правительства</v>
      </c>
      <c r="L54" s="1">
        <f>IFERROR(__xludf.DUMMYFUNCTION("""COMPUTED_VALUE"""),553.0)</f>
        <v>553</v>
      </c>
      <c r="M54" s="1" t="str">
        <f>IFERROR(__xludf.DUMMYFUNCTION("""COMPUTED_VALUE"""),"Курская битва")</f>
        <v>Курская битва</v>
      </c>
      <c r="N54" s="1">
        <f>IFERROR(__xludf.DUMMYFUNCTION("""COMPUTED_VALUE"""),653.0)</f>
        <v>653</v>
      </c>
      <c r="O54" s="1" t="str">
        <f>IFERROR(__xludf.DUMMYFUNCTION("""COMPUTED_VALUE"""),"Внешняя политика Горбачева")</f>
        <v>Внешняя политика Горбачева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 t="str">
        <f>IFERROR(__xludf.DUMMYFUNCTION("""COMPUTED_VALUE"""),"Борьба с Литвой Ивана 3")</f>
        <v>Борьба с Литвой Ивана 3</v>
      </c>
      <c r="D55" s="1">
        <f>IFERROR(__xludf.DUMMYFUNCTION("""COMPUTED_VALUE"""),154.0)</f>
        <v>154</v>
      </c>
      <c r="E55" s="1"/>
      <c r="F55" s="1"/>
      <c r="G55" s="1" t="str">
        <f>IFERROR(__xludf.DUMMYFUNCTION("""COMPUTED_VALUE"""),"Семилетняя война")</f>
        <v>Семилетняя война</v>
      </c>
      <c r="H55" s="1">
        <f>IFERROR(__xludf.DUMMYFUNCTION("""COMPUTED_VALUE"""),354.0)</f>
        <v>354</v>
      </c>
      <c r="I55" s="1" t="str">
        <f>IFERROR(__xludf.DUMMYFUNCTION("""COMPUTED_VALUE"""),"Общественные движения при Николае I")</f>
        <v>Общественные движения при Николае I</v>
      </c>
      <c r="J55" s="1">
        <f>IFERROR(__xludf.DUMMYFUNCTION("""COMPUTED_VALUE"""),454.0)</f>
        <v>454</v>
      </c>
      <c r="K55" s="1" t="str">
        <f>IFERROR(__xludf.DUMMYFUNCTION("""COMPUTED_VALUE"""),"Октябрьская революция")</f>
        <v>Октябрьская революция</v>
      </c>
      <c r="L55" s="1">
        <f>IFERROR(__xludf.DUMMYFUNCTION("""COMPUTED_VALUE"""),554.0)</f>
        <v>554</v>
      </c>
      <c r="M55" s="1" t="str">
        <f>IFERROR(__xludf.DUMMYFUNCTION("""COMPUTED_VALUE"""),"Битва за Днепр")</f>
        <v>Битва за Днепр</v>
      </c>
      <c r="N55" s="1">
        <f>IFERROR(__xludf.DUMMYFUNCTION("""COMPUTED_VALUE"""),654.0)</f>
        <v>654</v>
      </c>
      <c r="O55" s="1" t="str">
        <f>IFERROR(__xludf.DUMMYFUNCTION("""COMPUTED_VALUE"""),"«Новое политическое мышление»")</f>
        <v>«Новое политическое мышление»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 t="str">
        <f>IFERROR(__xludf.DUMMYFUNCTION("""COMPUTED_VALUE"""),"Государственная система при Иване III")</f>
        <v>Государственная система при Иване III</v>
      </c>
      <c r="D56" s="1">
        <f>IFERROR(__xludf.DUMMYFUNCTION("""COMPUTED_VALUE"""),155.0)</f>
        <v>155</v>
      </c>
      <c r="E56" s="1"/>
      <c r="F56" s="1"/>
      <c r="G56" s="1" t="str">
        <f>IFERROR(__xludf.DUMMYFUNCTION("""COMPUTED_VALUE"""),"Личность Петра III")</f>
        <v>Личность Петра III</v>
      </c>
      <c r="H56" s="1">
        <f>IFERROR(__xludf.DUMMYFUNCTION("""COMPUTED_VALUE"""),355.0)</f>
        <v>355</v>
      </c>
      <c r="I56" s="1" t="str">
        <f>IFERROR(__xludf.DUMMYFUNCTION("""COMPUTED_VALUE"""),"Промышленный переворот")</f>
        <v>Промышленный переворот</v>
      </c>
      <c r="J56" s="1">
        <f>IFERROR(__xludf.DUMMYFUNCTION("""COMPUTED_VALUE"""),455.0)</f>
        <v>455</v>
      </c>
      <c r="K56" s="1" t="str">
        <f>IFERROR(__xludf.DUMMYFUNCTION("""COMPUTED_VALUE"""),"Причины Октябрьской революции")</f>
        <v>Причины Октябрьской революции</v>
      </c>
      <c r="L56" s="1">
        <f>IFERROR(__xludf.DUMMYFUNCTION("""COMPUTED_VALUE"""),555.0)</f>
        <v>555</v>
      </c>
      <c r="M56" s="1" t="str">
        <f>IFERROR(__xludf.DUMMYFUNCTION("""COMPUTED_VALUE"""),"Битва за Кавказ")</f>
        <v>Битва за Кавказ</v>
      </c>
      <c r="N56" s="1">
        <f>IFERROR(__xludf.DUMMYFUNCTION("""COMPUTED_VALUE"""),655.0)</f>
        <v>655</v>
      </c>
      <c r="O56" s="1" t="str">
        <f>IFERROR(__xludf.DUMMYFUNCTION("""COMPUTED_VALUE"""),"Новоогаревский процесс")</f>
        <v>Новоогаревский процесс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 t="str">
        <f>IFERROR(__xludf.DUMMYFUNCTION("""COMPUTED_VALUE"""),"Присоединение Пскова, Смоленска, Рязани, Новгород-Северского")</f>
        <v>Присоединение Пскова, Смоленска, Рязани, Новгород-Северского</v>
      </c>
      <c r="D57" s="1">
        <f>IFERROR(__xludf.DUMMYFUNCTION("""COMPUTED_VALUE"""),156.0)</f>
        <v>156</v>
      </c>
      <c r="E57" s="1"/>
      <c r="F57" s="1"/>
      <c r="G57" s="1" t="str">
        <f>IFERROR(__xludf.DUMMYFUNCTION("""COMPUTED_VALUE"""),"Петербургский мир")</f>
        <v>Петербургский мир</v>
      </c>
      <c r="H57" s="1">
        <f>IFERROR(__xludf.DUMMYFUNCTION("""COMPUTED_VALUE"""),356.0)</f>
        <v>356</v>
      </c>
      <c r="I57" s="1" t="str">
        <f>IFERROR(__xludf.DUMMYFUNCTION("""COMPUTED_VALUE"""),"Реформа Канкрина")</f>
        <v>Реформа Канкрина</v>
      </c>
      <c r="J57" s="1">
        <f>IFERROR(__xludf.DUMMYFUNCTION("""COMPUTED_VALUE"""),456.0)</f>
        <v>456</v>
      </c>
      <c r="K57" s="1" t="str">
        <f>IFERROR(__xludf.DUMMYFUNCTION("""COMPUTED_VALUE"""),"Итоги октябрьской революции")</f>
        <v>Итоги октябрьской революции</v>
      </c>
      <c r="L57" s="1">
        <f>IFERROR(__xludf.DUMMYFUNCTION("""COMPUTED_VALUE"""),556.0)</f>
        <v>556</v>
      </c>
      <c r="M57" s="1" t="str">
        <f>IFERROR(__xludf.DUMMYFUNCTION("""COMPUTED_VALUE"""),"10 сталинских ударов")</f>
        <v>10 сталинских ударов</v>
      </c>
      <c r="N57" s="1">
        <f>IFERROR(__xludf.DUMMYFUNCTION("""COMPUTED_VALUE"""),656.0)</f>
        <v>656</v>
      </c>
      <c r="O57" s="1" t="str">
        <f>IFERROR(__xludf.DUMMYFUNCTION("""COMPUTED_VALUE"""),"Распад СССР")</f>
        <v>Распад СССР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 t="str">
        <f>IFERROR(__xludf.DUMMYFUNCTION("""COMPUTED_VALUE"""),"Борьба с Литвой Василия 3")</f>
        <v>Борьба с Литвой Василия 3</v>
      </c>
      <c r="D58" s="1">
        <f>IFERROR(__xludf.DUMMYFUNCTION("""COMPUTED_VALUE"""),157.0)</f>
        <v>157</v>
      </c>
      <c r="E58" s="1"/>
      <c r="F58" s="1"/>
      <c r="G58" s="1" t="str">
        <f>IFERROR(__xludf.DUMMYFUNCTION("""COMPUTED_VALUE"""),"Начало секуляризации церковных имуществ")</f>
        <v>Начало секуляризации церковных имуществ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IFERROR(__xludf.DUMMYFUNCTION("""COMPUTED_VALUE"""),"Особенности культуры 19- начала 20 века ")</f>
        <v>Особенности культуры 19- начала 20 века </v>
      </c>
      <c r="L58" s="1">
        <f>IFERROR(__xludf.DUMMYFUNCTION("""COMPUTED_VALUE"""),557.0)</f>
        <v>557</v>
      </c>
      <c r="M58" s="1" t="str">
        <f>IFERROR(__xludf.DUMMYFUNCTION("""COMPUTED_VALUE"""),"Окончание ВОВ")</f>
        <v>Окончание ВОВ</v>
      </c>
      <c r="N58" s="1">
        <f>IFERROR(__xludf.DUMMYFUNCTION("""COMPUTED_VALUE"""),657.0)</f>
        <v>657</v>
      </c>
      <c r="O58" s="1" t="str">
        <f>IFERROR(__xludf.DUMMYFUNCTION("""COMPUTED_VALUE"""),"Причины распада СССР")</f>
        <v>Причины распада СССР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 t="str">
        <f>IFERROR(__xludf.DUMMYFUNCTION("""COMPUTED_VALUE"""),"Теория «Москва Третий Рим»")</f>
        <v>Теория «Москва Третий Рим»</v>
      </c>
      <c r="D59" s="1">
        <f>IFERROR(__xludf.DUMMYFUNCTION("""COMPUTED_VALUE"""),158.0)</f>
        <v>158</v>
      </c>
      <c r="E59" s="1"/>
      <c r="F59" s="1"/>
      <c r="G59" s="1" t="str">
        <f>IFERROR(__xludf.DUMMYFUNCTION("""COMPUTED_VALUE"""),"Манифест о вольности дворянству")</f>
        <v>Манифест о вольности дворянству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IFERROR(__xludf.DUMMYFUNCTION("""COMPUTED_VALUE"""),"Литература 19- начала 20 века ")</f>
        <v>Литература 19- начала 20 века </v>
      </c>
      <c r="L59" s="1">
        <f>IFERROR(__xludf.DUMMYFUNCTION("""COMPUTED_VALUE"""),558.0)</f>
        <v>558</v>
      </c>
      <c r="M59" s="1" t="str">
        <f>IFERROR(__xludf.DUMMYFUNCTION("""COMPUTED_VALUE"""),"Национальная политика в период ВОВ")</f>
        <v>Национальная политика в период ВОВ</v>
      </c>
      <c r="N59" s="1">
        <f>IFERROR(__xludf.DUMMYFUNCTION("""COMPUTED_VALUE"""),658.0)</f>
        <v>658</v>
      </c>
      <c r="O59" s="1" t="str">
        <f>IFERROR(__xludf.DUMMYFUNCTION("""COMPUTED_VALUE"""),"Выборы президента РСФСР ")</f>
        <v>Выборы президента РСФСР 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 t="str">
        <f>IFERROR(__xludf.DUMMYFUNCTION("""COMPUTED_VALUE"""),"Присоединение Земель в XIV–XV веке")</f>
        <v>Присоединение Земель в XIV–XV веке</v>
      </c>
      <c r="D60" s="1">
        <f>IFERROR(__xludf.DUMMYFUNCTION("""COMPUTED_VALUE"""),159.0)</f>
        <v>159</v>
      </c>
      <c r="E60" s="1"/>
      <c r="F60" s="1"/>
      <c r="G60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H60" s="1">
        <f>IFERROR(__xludf.DUMMYFUNCTION("""COMPUTED_VALUE"""),359.0)</f>
        <v>359</v>
      </c>
      <c r="I60" s="1"/>
      <c r="J60" s="1"/>
      <c r="K60" s="1" t="str">
        <f>IFERROR(__xludf.DUMMYFUNCTION("""COMPUTED_VALUE"""),"Архитектура 19- начала 20 века ")</f>
        <v>Архитектура 19- начала 20 века </v>
      </c>
      <c r="L60" s="1">
        <f>IFERROR(__xludf.DUMMYFUNCTION("""COMPUTED_VALUE"""),559.0)</f>
        <v>559</v>
      </c>
      <c r="M60" s="1" t="str">
        <f>IFERROR(__xludf.DUMMYFUNCTION("""COMPUTED_VALUE"""),"Международные отношения в период ВОВ")</f>
        <v>Международные отношения в период ВОВ</v>
      </c>
      <c r="N60" s="1">
        <f>IFERROR(__xludf.DUMMYFUNCTION("""COMPUTED_VALUE"""),659.0)</f>
        <v>659</v>
      </c>
      <c r="O60" s="1" t="str">
        <f>IFERROR(__xludf.DUMMYFUNCTION("""COMPUTED_VALUE"""),"Государственный комитет по чрезвычайному положению")</f>
        <v>Государственный комитет по чрезвычайному положению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 t="str">
        <f>IFERROR(__xludf.DUMMYFUNCTION("""COMPUTED_VALUE"""),"Монголы (Темучин-Ахмат)")</f>
        <v>Монголы (Темучин-Ахмат)</v>
      </c>
      <c r="D61" s="1">
        <f>IFERROR(__xludf.DUMMYFUNCTION("""COMPUTED_VALUE"""),160.0)</f>
        <v>160</v>
      </c>
      <c r="E61" s="1"/>
      <c r="F61" s="1"/>
      <c r="G61" s="1"/>
      <c r="H61" s="1"/>
      <c r="I61" s="1"/>
      <c r="J61" s="1"/>
      <c r="K61" s="1" t="str">
        <f>IFERROR(__xludf.DUMMYFUNCTION("""COMPUTED_VALUE"""),"Наука 19- начала 20 века ")</f>
        <v>Наука 19- начала 20 века </v>
      </c>
      <c r="L61" s="1">
        <f>IFERROR(__xludf.DUMMYFUNCTION("""COMPUTED_VALUE"""),560.0)</f>
        <v>560</v>
      </c>
      <c r="M61" s="1" t="str">
        <f>IFERROR(__xludf.DUMMYFUNCTION("""COMPUTED_VALUE"""),"Конференции во время войны")</f>
        <v>Конференции во время войны</v>
      </c>
      <c r="N61" s="1">
        <f>IFERROR(__xludf.DUMMYFUNCTION("""COMPUTED_VALUE"""),660.0)</f>
        <v>660</v>
      </c>
      <c r="O61" s="1" t="str">
        <f>IFERROR(__xludf.DUMMYFUNCTION("""COMPUTED_VALUE"""),"Причины провала и последствия путча")</f>
        <v>Причины провала и последствия путча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 t="str">
        <f>IFERROR(__xludf.DUMMYFUNCTION("""COMPUTED_VALUE"""),"Даниил Галицкий")</f>
        <v>Даниил Галицкий</v>
      </c>
      <c r="D62" s="1">
        <f>IFERROR(__xludf.DUMMYFUNCTION("""COMPUTED_VALUE"""),161.0)</f>
        <v>161</v>
      </c>
      <c r="E62" s="1"/>
      <c r="F62" s="1"/>
      <c r="G62" s="1"/>
      <c r="H62" s="1"/>
      <c r="I62" s="1"/>
      <c r="J62" s="1"/>
      <c r="K62" s="1" t="str">
        <f>IFERROR(__xludf.DUMMYFUNCTION("""COMPUTED_VALUE"""),"Живопись 19- начала 20 века ")</f>
        <v>Живопись 19- начала 20 века </v>
      </c>
      <c r="L62" s="1">
        <f>IFERROR(__xludf.DUMMYFUNCTION("""COMPUTED_VALUE"""),561.0)</f>
        <v>561</v>
      </c>
      <c r="M62" s="1" t="str">
        <f>IFERROR(__xludf.DUMMYFUNCTION("""COMPUTED_VALUE"""),"Война с Японией")</f>
        <v>Война с Японией</v>
      </c>
      <c r="N62" s="1">
        <f>IFERROR(__xludf.DUMMYFUNCTION("""COMPUTED_VALUE"""),661.0)</f>
        <v>661</v>
      </c>
      <c r="O62" s="1" t="str">
        <f>IFERROR(__xludf.DUMMYFUNCTION("""COMPUTED_VALUE"""),"Политическая ситуация 1991 года")</f>
        <v>Политическая ситуация 1991 года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tr">
        <f>IFERROR(__xludf.DUMMYFUNCTION("""COMPUTED_VALUE"""),"Формы зависимости от Золотой орды. Ярлык")</f>
        <v>Формы зависимости от Золотой орды. Ярлык</v>
      </c>
      <c r="D63" s="1">
        <f>IFERROR(__xludf.DUMMYFUNCTION("""COMPUTED_VALUE"""),162.0)</f>
        <v>162</v>
      </c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IFERROR(__xludf.DUMMYFUNCTION("""COMPUTED_VALUE"""),"Создание ООН")</f>
        <v>Создание ООН</v>
      </c>
      <c r="N63" s="1">
        <f>IFERROR(__xludf.DUMMYFUNCTION("""COMPUTED_VALUE"""),662.0)</f>
        <v>662</v>
      </c>
      <c r="O63" s="1" t="str">
        <f>IFERROR(__xludf.DUMMYFUNCTION("""COMPUTED_VALUE"""),"Последствия распада СССР")</f>
        <v>Последствия распада СССР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IFERROR(__xludf.DUMMYFUNCTION("""COMPUTED_VALUE"""),"Причины победы СССР")</f>
        <v>Причины победы СССР</v>
      </c>
      <c r="N64" s="1">
        <f>IFERROR(__xludf.DUMMYFUNCTION("""COMPUTED_VALUE"""),663.0)</f>
        <v>663</v>
      </c>
      <c r="O64" s="1" t="str">
        <f>IFERROR(__xludf.DUMMYFUNCTION("""COMPUTED_VALUE"""),"Культура 1980-х")</f>
        <v>Культура 1980-х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IFERROR(__xludf.DUMMYFUNCTION("""COMPUTED_VALUE"""),"Итоги войны")</f>
        <v>Итоги войны</v>
      </c>
      <c r="N65" s="1">
        <f>IFERROR(__xludf.DUMMYFUNCTION("""COMPUTED_VALUE"""),664.0)</f>
        <v>664</v>
      </c>
      <c r="O65" s="1" t="str">
        <f>IFERROR(__xludf.DUMMYFUNCTION("""COMPUTED_VALUE"""),"Первый полет в космос человека. Гагарин, Леонов
")</f>
        <v>Первый полет в космос человека. Гагарин, Леонов
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IFERROR(__xludf.DUMMYFUNCTION("""COMPUTED_VALUE"""),"Герои ВОВ")</f>
        <v>Герои ВОВ</v>
      </c>
      <c r="N66" s="1">
        <f>IFERROR(__xludf.DUMMYFUNCTION("""COMPUTED_VALUE"""),665.0)</f>
        <v>665</v>
      </c>
      <c r="O66" s="1" t="str">
        <f>IFERROR(__xludf.DUMMYFUNCTION("""COMPUTED_VALUE"""),"Кино в XX веке")</f>
        <v>Кино в XX веке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IFERROR(__xludf.DUMMYFUNCTION("""COMPUTED_VALUE"""),"СССР в послевоенный период")</f>
        <v>СССР в послевоенный период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IFERROR(__xludf.DUMMYFUNCTION("""COMPUTED_VALUE"""),"Источники восстановления экономики")</f>
        <v>Источники восстановления экономики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IFERROR(__xludf.DUMMYFUNCTION("""COMPUTED_VALUE"""),"Послевоенные реформы")</f>
        <v>Послевоенные реформы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IFERROR(__xludf.DUMMYFUNCTION("""COMPUTED_VALUE"""),"Социальная политика после войны")</f>
        <v>Социальная политика после войны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IFERROR(__xludf.DUMMYFUNCTION("""COMPUTED_VALUE"""),"Экономика послевоенного времени")</f>
        <v>Экономика послевоенного времени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IFERROR(__xludf.DUMMYFUNCTION("""COMPUTED_VALUE"""),"Четвертая пятилетка ")</f>
        <v>Четвертая пятилетка 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IFERROR(__xludf.DUMMYFUNCTION("""COMPUTED_VALUE"""),"Пятая пятилетка")</f>
        <v>Пятая пятилетка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IFERROR(__xludf.DUMMYFUNCTION("""COMPUTED_VALUE"""),"Послевоенные репрессии")</f>
        <v>Послевоенные репрессии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IFERROR(__xludf.DUMMYFUNCTION("""COMPUTED_VALUE"""),"Атомное оружие")</f>
        <v>Атомное оружие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IFERROR(__xludf.DUMMYFUNCTION("""COMPUTED_VALUE"""),"Внешняя политика после войны")</f>
        <v>Внешняя политика после войны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IFERROR(__xludf.DUMMYFUNCTION("""COMPUTED_VALUE"""),"Причины холодной войны")</f>
        <v>Причины холодной войны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 Холодная война. Формирование блоков")</f>
        <v> Холодная война. Формирование блоков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IFERROR(__xludf.DUMMYFUNCTION("""COMPUTED_VALUE"""),"Внешняя политика в последние годы Сталина")</f>
        <v>Внешняя политика в последние годы Сталина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IFERROR(__xludf.DUMMYFUNCTION("""COMPUTED_VALUE"""),"Особенности культуры при Сталине")</f>
        <v>Особенности культуры при Сталине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IFERROR(__xludf.DUMMYFUNCTION("""COMPUTED_VALUE"""),"Литература при Сталине")</f>
        <v>Литература при Сталине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IFERROR(__xludf.DUMMYFUNCTION("""COMPUTED_VALUE"""),"Архитектура при Сталине")</f>
        <v>Архитектура при Сталине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IFERROR(__xludf.DUMMYFUNCTION("""COMPUTED_VALUE"""),"Наука при Сталине")</f>
        <v>Наука при Сталине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IFERROR(__xludf.DUMMYFUNCTION("""COMPUTED_VALUE"""),"Живопись при Сталине")</f>
        <v>Живопись при Сталине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