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IFERROR(__xludf.DUMMYFUNCTION("IMPORTRANGE(""https://docs.google.com/spreadsheets/d/143kDXedG9Cx-L7R-Q8ll6Y_WMJ0FKJ3PSFr6D5-sHgg/edit"",""УМИТЫ!A:Z"")")," Источники географической информации.")</f>
        <v> Источники географической информации.</v>
      </c>
      <c r="B1" s="1"/>
      <c r="C1" s="1" t="str">
        <f>IFERROR(__xludf.DUMMYFUNCTION("""COMPUTED_VALUE""")," История освоения мира и России")</f>
        <v> История освоения мира и России</v>
      </c>
      <c r="D1" s="1"/>
      <c r="E1" s="1" t="str">
        <f>IFERROR(__xludf.DUMMYFUNCTION("""COMPUTED_VALUE"""),"Планета Земля")</f>
        <v>Планета Земля</v>
      </c>
      <c r="F1" s="1"/>
      <c r="G1" s="1" t="str">
        <f>IFERROR(__xludf.DUMMYFUNCTION("""COMPUTED_VALUE"""),"Литосфера")</f>
        <v>Литосфера</v>
      </c>
      <c r="H1" s="1"/>
      <c r="I1" s="1" t="str">
        <f>IFERROR(__xludf.DUMMYFUNCTION("""COMPUTED_VALUE""")," Атмосфера.")</f>
        <v> Атмосфера.</v>
      </c>
      <c r="J1" s="1"/>
      <c r="K1" s="1" t="str">
        <f>IFERROR(__xludf.DUMMYFUNCTION("""COMPUTED_VALUE""")," Гидросфера.")</f>
        <v> Гидросфера.</v>
      </c>
      <c r="L1" s="1"/>
      <c r="M1" s="1" t="str">
        <f>IFERROR(__xludf.DUMMYFUNCTION("""COMPUTED_VALUE"""),"Биосфера. Природопользование и экология")</f>
        <v>Биосфера. Природопользование и экология</v>
      </c>
      <c r="N1" s="1"/>
      <c r="O1" s="1" t="str">
        <f>IFERROR(__xludf.DUMMYFUNCTION("""COMPUTED_VALUE""")," Население и хозяйство мира")</f>
        <v> Население и хозяйство мира</v>
      </c>
      <c r="P1" s="1"/>
      <c r="Q1" s="1" t="str">
        <f>IFERROR(__xludf.DUMMYFUNCTION("""COMPUTED_VALUE"""),"Природа материков и крупные страны")</f>
        <v>Природа материков и крупные страны</v>
      </c>
      <c r="R1" s="1"/>
      <c r="S1" s="1" t="str">
        <f>IFERROR(__xludf.DUMMYFUNCTION("""COMPUTED_VALUE"""),"География России. Географическое положение на планете и материке. Геополитические особенности")</f>
        <v>География России. Географическое положение на планете и материке. Геополитические особенности</v>
      </c>
      <c r="T1" s="1"/>
      <c r="U1" s="1" t="str">
        <f>IFERROR(__xludf.DUMMYFUNCTION("""COMPUTED_VALUE""")," География России. Особенности природы и хозяйственые районы страны")</f>
        <v> География России. Особенности природы и хозяйственые районы страны</v>
      </c>
      <c r="V1" s="1"/>
      <c r="W1" s="1" t="str">
        <f>IFERROR(__xludf.DUMMYFUNCTION("""COMPUTED_VALUE""")," География России. Население и хозяйство")</f>
        <v> География России. Население и хозяйство</v>
      </c>
      <c r="X1" s="1"/>
      <c r="Y1" s="1" t="str">
        <f>IFERROR(__xludf.DUMMYFUNCTION("""COMPUTED_VALUE"""),"Методы и навыки.")</f>
        <v>Методы и навыки.</v>
      </c>
      <c r="Z1" s="1"/>
    </row>
    <row r="2">
      <c r="A2" s="1" t="str">
        <f>IFERROR(__xludf.DUMMYFUNCTION("""COMPUTED_VALUE"""),"Глобус")</f>
        <v>Глобус</v>
      </c>
      <c r="B2" s="1">
        <f>IFERROR(__xludf.DUMMYFUNCTION("""COMPUTED_VALUE"""),1.0)</f>
        <v>1</v>
      </c>
      <c r="C2" s="1" t="str">
        <f>IFERROR(__xludf.DUMMYFUNCTION("""COMPUTED_VALUE"""),"Географы древности и античного времени")</f>
        <v>Географы древности и античного времени</v>
      </c>
      <c r="D2" s="1">
        <f>IFERROR(__xludf.DUMMYFUNCTION("""COMPUTED_VALUE"""),101.0)</f>
        <v>101</v>
      </c>
      <c r="E2" s="1" t="str">
        <f>IFERROR(__xludf.DUMMYFUNCTION("""COMPUTED_VALUE"""),"Земля — планета Солнечной системы")</f>
        <v>Земля — планета Солнечной системы</v>
      </c>
      <c r="F2" s="1">
        <f>IFERROR(__xludf.DUMMYFUNCTION("""COMPUTED_VALUE"""),201.0)</f>
        <v>201</v>
      </c>
      <c r="G2" s="1" t="str">
        <f>IFERROR(__xludf.DUMMYFUNCTION("""COMPUTED_VALUE"""),"Суша Земли")</f>
        <v>Суша Земли</v>
      </c>
      <c r="H2" s="1">
        <f>IFERROR(__xludf.DUMMYFUNCTION("""COMPUTED_VALUE"""),301.0)</f>
        <v>301</v>
      </c>
      <c r="I2" s="1" t="str">
        <f>IFERROR(__xludf.DUMMYFUNCTION("""COMPUTED_VALUE"""),"Атмосфера")</f>
        <v>Атмосфера</v>
      </c>
      <c r="J2" s="1">
        <f>IFERROR(__xludf.DUMMYFUNCTION("""COMPUTED_VALUE"""),401.0)</f>
        <v>401</v>
      </c>
      <c r="K2" s="1" t="str">
        <f>IFERROR(__xludf.DUMMYFUNCTION("""COMPUTED_VALUE"""),"Мировой океан и его части")</f>
        <v>Мировой океан и его части</v>
      </c>
      <c r="L2" s="1">
        <f>IFERROR(__xludf.DUMMYFUNCTION("""COMPUTED_VALUE"""),501.0)</f>
        <v>501</v>
      </c>
      <c r="M2" s="1" t="str">
        <f>IFERROR(__xludf.DUMMYFUNCTION("""COMPUTED_VALUE"""),"Учение о биосфере, определение")</f>
        <v>Учение о биосфере, определение</v>
      </c>
      <c r="N2" s="1">
        <f>IFERROR(__xludf.DUMMYFUNCTION("""COMPUTED_VALUE"""),601.0)</f>
        <v>601</v>
      </c>
      <c r="O2" s="1" t="str">
        <f>IFERROR(__xludf.DUMMYFUNCTION("""COMPUTED_VALUE"""),"Появление человека на Земле. Древняя родина человека, пути его расселения по материкам  ")</f>
        <v>Появление человека на Земле. Древняя родина человека, пути его расселения по материкам  </v>
      </c>
      <c r="P2" s="1">
        <f>IFERROR(__xludf.DUMMYFUNCTION("""COMPUTED_VALUE"""),701.0)</f>
        <v>701</v>
      </c>
      <c r="Q2" s="1" t="str">
        <f>IFERROR(__xludf.DUMMYFUNCTION("""COMPUTED_VALUE"""),"Многообразие стран современного мира. Их основные типы")</f>
        <v>Многообразие стран современного мира. Их основные типы</v>
      </c>
      <c r="R2" s="1">
        <f>IFERROR(__xludf.DUMMYFUNCTION("""COMPUTED_VALUE"""),801.0)</f>
        <v>801</v>
      </c>
      <c r="S2" s="1" t="str">
        <f>IFERROR(__xludf.DUMMYFUNCTION("""COMPUTED_VALUE"""),"Территория и акватория  ")</f>
        <v>Территория и акватория  </v>
      </c>
      <c r="T2" s="1">
        <f>IFERROR(__xludf.DUMMYFUNCTION("""COMPUTED_VALUE"""),901.0)</f>
        <v>901</v>
      </c>
      <c r="U2" s="1" t="str">
        <f>IFERROR(__xludf.DUMMYFUNCTION("""COMPUTED_VALUE"""),"Природные условия и ресурсы")</f>
        <v>Природные условия и ресурсы</v>
      </c>
      <c r="V2" s="1">
        <f>IFERROR(__xludf.DUMMYFUNCTION("""COMPUTED_VALUE"""),1001.0)</f>
        <v>1001</v>
      </c>
      <c r="W2" s="1" t="str">
        <f>IFERROR(__xludf.DUMMYFUNCTION("""COMPUTED_VALUE"""),"Численность населения России")</f>
        <v>Численность населения России</v>
      </c>
      <c r="X2" s="1">
        <f>IFERROR(__xludf.DUMMYFUNCTION("""COMPUTED_VALUE"""),1101.0)</f>
        <v>1101</v>
      </c>
      <c r="Y2" s="1" t="str">
        <f>IFERROR(__xludf.DUMMYFUNCTION("""COMPUTED_VALUE"""),"Наблюдение")</f>
        <v>Наблюдение</v>
      </c>
      <c r="Z2" s="1">
        <f>IFERROR(__xludf.DUMMYFUNCTION("""COMPUTED_VALUE"""),1201.0)</f>
        <v>1201</v>
      </c>
    </row>
    <row r="3">
      <c r="A3" s="1" t="str">
        <f>IFERROR(__xludf.DUMMYFUNCTION("""COMPUTED_VALUE"""),"Географическая карта")</f>
        <v>Географическая карта</v>
      </c>
      <c r="B3" s="1">
        <f>IFERROR(__xludf.DUMMYFUNCTION("""COMPUTED_VALUE"""),2.0)</f>
        <v>2</v>
      </c>
      <c r="C3" s="1" t="str">
        <f>IFERROR(__xludf.DUMMYFUNCTION("""COMPUTED_VALUE"""),"Птоломей - основатель ""Географии""")</f>
        <v>Птоломей - основатель "Географии"</v>
      </c>
      <c r="D3" s="1">
        <f>IFERROR(__xludf.DUMMYFUNCTION("""COMPUTED_VALUE"""),102.0)</f>
        <v>102</v>
      </c>
      <c r="E3" s="1" t="str">
        <f>IFERROR(__xludf.DUMMYFUNCTION("""COMPUTED_VALUE"""),"Солнце и его влияние на Землю")</f>
        <v>Солнце и его влияние на Землю</v>
      </c>
      <c r="F3" s="1">
        <f>IFERROR(__xludf.DUMMYFUNCTION("""COMPUTED_VALUE"""),202.0)</f>
        <v>202</v>
      </c>
      <c r="G3" s="1" t="str">
        <f>IFERROR(__xludf.DUMMYFUNCTION("""COMPUTED_VALUE"""),"Внутреннее строение Земли")</f>
        <v>Внутреннее строение Земли</v>
      </c>
      <c r="H3" s="1">
        <f>IFERROR(__xludf.DUMMYFUNCTION("""COMPUTED_VALUE"""),302.0)</f>
        <v>302</v>
      </c>
      <c r="I3" s="1" t="str">
        <f>IFERROR(__xludf.DUMMYFUNCTION("""COMPUTED_VALUE"""),"Состав воздуха")</f>
        <v>Состав воздуха</v>
      </c>
      <c r="J3" s="1">
        <f>IFERROR(__xludf.DUMMYFUNCTION("""COMPUTED_VALUE"""),402.0)</f>
        <v>402</v>
      </c>
      <c r="K3" s="1" t="str">
        <f>IFERROR(__xludf.DUMMYFUNCTION("""COMPUTED_VALUE"""),"Водные объекты Мирового океана")</f>
        <v>Водные объекты Мирового океана</v>
      </c>
      <c r="L3" s="1">
        <f>IFERROR(__xludf.DUMMYFUNCTION("""COMPUTED_VALUE"""),502.0)</f>
        <v>502</v>
      </c>
      <c r="M3" s="1" t="str">
        <f>IFERROR(__xludf.DUMMYFUNCTION("""COMPUTED_VALUE"""),"Разнообразие растений, приспособленность к среде обитания")</f>
        <v>Разнообразие растений, приспособленность к среде обитания</v>
      </c>
      <c r="N3" s="1">
        <f>IFERROR(__xludf.DUMMYFUNCTION("""COMPUTED_VALUE"""),602.0)</f>
        <v>602</v>
      </c>
      <c r="O3" s="1" t="str">
        <f>IFERROR(__xludf.DUMMYFUNCTION("""COMPUTED_VALUE"""),"Динамика численности населения Земли")</f>
        <v>Динамика численности населения Земли</v>
      </c>
      <c r="P3" s="1">
        <f>IFERROR(__xludf.DUMMYFUNCTION("""COMPUTED_VALUE"""),702.0)</f>
        <v>702</v>
      </c>
      <c r="Q3" s="1" t="str">
        <f>IFERROR(__xludf.DUMMYFUNCTION("""COMPUTED_VALUE"""),"Формы правления и административно-территориального устройства")</f>
        <v>Формы правления и административно-территориального устройства</v>
      </c>
      <c r="R3" s="1">
        <f>IFERROR(__xludf.DUMMYFUNCTION("""COMPUTED_VALUE"""),802.0)</f>
        <v>802</v>
      </c>
      <c r="S3" s="1" t="str">
        <f>IFERROR(__xludf.DUMMYFUNCTION("""COMPUTED_VALUE"""),"Площадь территории")</f>
        <v>Площадь территории</v>
      </c>
      <c r="T3" s="1">
        <f>IFERROR(__xludf.DUMMYFUNCTION("""COMPUTED_VALUE"""),902.0)</f>
        <v>902</v>
      </c>
      <c r="U3" s="1" t="str">
        <f>IFERROR(__xludf.DUMMYFUNCTION("""COMPUTED_VALUE"""),"Тектоническое строение территории России")</f>
        <v>Тектоническое строение территории России</v>
      </c>
      <c r="V3" s="1">
        <f>IFERROR(__xludf.DUMMYFUNCTION("""COMPUTED_VALUE"""),1002.0)</f>
        <v>1002</v>
      </c>
      <c r="W3" s="1" t="str">
        <f>IFERROR(__xludf.DUMMYFUNCTION("""COMPUTED_VALUE"""),"Воспроизводство населения и естественный прирост в России ")</f>
        <v>Воспроизводство населения и естественный прирост в России </v>
      </c>
      <c r="X3" s="1">
        <f>IFERROR(__xludf.DUMMYFUNCTION("""COMPUTED_VALUE"""),1102.0)</f>
        <v>1102</v>
      </c>
      <c r="Y3" s="1" t="str">
        <f>IFERROR(__xludf.DUMMYFUNCTION("""COMPUTED_VALUE"""),"Описательный метод")</f>
        <v>Описательный метод</v>
      </c>
      <c r="Z3" s="1">
        <f>IFERROR(__xludf.DUMMYFUNCTION("""COMPUTED_VALUE"""),1202.0)</f>
        <v>1202</v>
      </c>
    </row>
    <row r="4">
      <c r="A4" s="1" t="str">
        <f>IFERROR(__xludf.DUMMYFUNCTION("""COMPUTED_VALUE"""),"Топографическая карта")</f>
        <v>Топографическая карта</v>
      </c>
      <c r="B4" s="1">
        <f>IFERROR(__xludf.DUMMYFUNCTION("""COMPUTED_VALUE"""),3.0)</f>
        <v>3</v>
      </c>
      <c r="C4" s="1" t="str">
        <f>IFERROR(__xludf.DUMMYFUNCTION("""COMPUTED_VALUE"""),"Географы средневековья до этапа Великих географических открытий")</f>
        <v>Географы средневековья до этапа Великих географических открытий</v>
      </c>
      <c r="D4" s="1">
        <f>IFERROR(__xludf.DUMMYFUNCTION("""COMPUTED_VALUE"""),103.0)</f>
        <v>103</v>
      </c>
      <c r="E4" s="1" t="str">
        <f>IFERROR(__xludf.DUMMYFUNCTION("""COMPUTED_VALUE"""),"Смена дня и ночи")</f>
        <v>Смена дня и ночи</v>
      </c>
      <c r="F4" s="1">
        <f>IFERROR(__xludf.DUMMYFUNCTION("""COMPUTED_VALUE"""),203.0)</f>
        <v>203</v>
      </c>
      <c r="G4" s="1" t="str">
        <f>IFERROR(__xludf.DUMMYFUNCTION("""COMPUTED_VALUE"""),"Земная кора ")</f>
        <v>Земная кора </v>
      </c>
      <c r="H4" s="1">
        <f>IFERROR(__xludf.DUMMYFUNCTION("""COMPUTED_VALUE"""),303.0)</f>
        <v>303</v>
      </c>
      <c r="I4" s="1" t="str">
        <f>IFERROR(__xludf.DUMMYFUNCTION("""COMPUTED_VALUE"""),"Строение атмосферы ")</f>
        <v>Строение атмосферы </v>
      </c>
      <c r="J4" s="1">
        <f>IFERROR(__xludf.DUMMYFUNCTION("""COMPUTED_VALUE"""),403.0)</f>
        <v>403</v>
      </c>
      <c r="K4" s="1" t="str">
        <f>IFERROR(__xludf.DUMMYFUNCTION("""COMPUTED_VALUE"""),"Суша и части суши")</f>
        <v>Суша и части суши</v>
      </c>
      <c r="L4" s="1">
        <f>IFERROR(__xludf.DUMMYFUNCTION("""COMPUTED_VALUE"""),503.0)</f>
        <v>503</v>
      </c>
      <c r="M4" s="1" t="str">
        <f>IFERROR(__xludf.DUMMYFUNCTION("""COMPUTED_VALUE"""),"Разнообразие животных, приспособленность к среде обитания")</f>
        <v>Разнообразие животных, приспособленность к среде обитания</v>
      </c>
      <c r="N4" s="1">
        <f>IFERROR(__xludf.DUMMYFUNCTION("""COMPUTED_VALUE"""),603.0)</f>
        <v>603</v>
      </c>
      <c r="O4" s="1" t="str">
        <f>IFERROR(__xludf.DUMMYFUNCTION("""COMPUTED_VALUE"""),"Динамика численности населения крупных стран мира")</f>
        <v>Динамика численности населения крупных стран мира</v>
      </c>
      <c r="P4" s="1">
        <f>IFERROR(__xludf.DUMMYFUNCTION("""COMPUTED_VALUE"""),703.0)</f>
        <v>703</v>
      </c>
      <c r="Q4" s="1" t="str">
        <f>IFERROR(__xludf.DUMMYFUNCTION("""COMPUTED_VALUE"""),"Характерные черты природы Африки")</f>
        <v>Характерные черты природы Африки</v>
      </c>
      <c r="R4" s="1">
        <f>IFERROR(__xludf.DUMMYFUNCTION("""COMPUTED_VALUE"""),803.0)</f>
        <v>803</v>
      </c>
      <c r="S4" s="1" t="str">
        <f>IFERROR(__xludf.DUMMYFUNCTION("""COMPUTED_VALUE"""),"Особенности  географического положения России")</f>
        <v>Особенности  географического положения России</v>
      </c>
      <c r="T4" s="1">
        <f>IFERROR(__xludf.DUMMYFUNCTION("""COMPUTED_VALUE"""),903.0)</f>
        <v>903</v>
      </c>
      <c r="U4" s="1" t="str">
        <f>IFERROR(__xludf.DUMMYFUNCTION("""COMPUTED_VALUE"""),"Минеральные ресурсы. Основные месторождения рудных, горючих и нерудных ископаемых
")</f>
        <v>Минеральные ресурсы. Основные месторождения рудных, горючих и нерудных ископаемых
</v>
      </c>
      <c r="V4" s="1">
        <f>IFERROR(__xludf.DUMMYFUNCTION("""COMPUTED_VALUE"""),1003.0)</f>
        <v>1003</v>
      </c>
      <c r="W4" s="1" t="str">
        <f>IFERROR(__xludf.DUMMYFUNCTION("""COMPUTED_VALUE"""),"Половой и возрастной состав населения страны")</f>
        <v>Половой и возрастной состав населения страны</v>
      </c>
      <c r="X4" s="1">
        <f>IFERROR(__xludf.DUMMYFUNCTION("""COMPUTED_VALUE"""),1103.0)</f>
        <v>1103</v>
      </c>
      <c r="Y4" s="1" t="str">
        <f>IFERROR(__xludf.DUMMYFUNCTION("""COMPUTED_VALUE"""),"Сравнительно-географический метод")</f>
        <v>Сравнительно-географический метод</v>
      </c>
      <c r="Z4" s="1">
        <f>IFERROR(__xludf.DUMMYFUNCTION("""COMPUTED_VALUE"""),1203.0)</f>
        <v>1203</v>
      </c>
    </row>
    <row r="5">
      <c r="A5" s="1" t="str">
        <f>IFERROR(__xludf.DUMMYFUNCTION("""COMPUTED_VALUE"""),"План местности")</f>
        <v>План местности</v>
      </c>
      <c r="B5" s="1">
        <f>IFERROR(__xludf.DUMMYFUNCTION("""COMPUTED_VALUE"""),4.0)</f>
        <v>4</v>
      </c>
      <c r="C5" s="1" t="str">
        <f>IFERROR(__xludf.DUMMYFUNCTION("""COMPUTED_VALUE"""),"Поло Марко")</f>
        <v>Поло Марко</v>
      </c>
      <c r="D5" s="1">
        <f>IFERROR(__xludf.DUMMYFUNCTION("""COMPUTED_VALUE"""),104.0)</f>
        <v>104</v>
      </c>
      <c r="E5" s="1" t="str">
        <f>IFERROR(__xludf.DUMMYFUNCTION("""COMPUTED_VALUE"""),"Луна — спутник Земли, их взаимодействие ")</f>
        <v>Луна — спутник Земли, их взаимодействие </v>
      </c>
      <c r="F5" s="1">
        <f>IFERROR(__xludf.DUMMYFUNCTION("""COMPUTED_VALUE"""),204.0)</f>
        <v>204</v>
      </c>
      <c r="G5" s="1" t="str">
        <f>IFERROR(__xludf.DUMMYFUNCTION("""COMPUTED_VALUE"""),"Земная кора материковая")</f>
        <v>Земная кора материковая</v>
      </c>
      <c r="H5" s="1">
        <f>IFERROR(__xludf.DUMMYFUNCTION("""COMPUTED_VALUE"""),304.0)</f>
        <v>304</v>
      </c>
      <c r="I5" s="1" t="str">
        <f>IFERROR(__xludf.DUMMYFUNCTION("""COMPUTED_VALUE"""),"Температура воздуха, изменение с высотой")</f>
        <v>Температура воздуха, изменение с высотой</v>
      </c>
      <c r="J5" s="1">
        <f>IFERROR(__xludf.DUMMYFUNCTION("""COMPUTED_VALUE"""),404.0)</f>
        <v>404</v>
      </c>
      <c r="K5" s="1" t="str">
        <f>IFERROR(__xludf.DUMMYFUNCTION("""COMPUTED_VALUE"""),"Объекты  суши")</f>
        <v>Объекты  суши</v>
      </c>
      <c r="L5" s="1">
        <f>IFERROR(__xludf.DUMMYFUNCTION("""COMPUTED_VALUE"""),504.0)</f>
        <v>504</v>
      </c>
      <c r="M5" s="1" t="str">
        <f>IFERROR(__xludf.DUMMYFUNCTION("""COMPUTED_VALUE"""),"Реликтовые и эндемичные виды")</f>
        <v>Реликтовые и эндемичные виды</v>
      </c>
      <c r="N5" s="1">
        <f>IFERROR(__xludf.DUMMYFUNCTION("""COMPUTED_VALUE"""),604.0)</f>
        <v>604</v>
      </c>
      <c r="O5" s="1" t="str">
        <f>IFERROR(__xludf.DUMMYFUNCTION("""COMPUTED_VALUE"""),"Причины и последствия постоянного роста населения Земли")</f>
        <v>Причины и последствия постоянного роста населения Земли</v>
      </c>
      <c r="P5" s="1">
        <f>IFERROR(__xludf.DUMMYFUNCTION("""COMPUTED_VALUE"""),704.0)</f>
        <v>704</v>
      </c>
      <c r="Q5" s="1" t="str">
        <f>IFERROR(__xludf.DUMMYFUNCTION("""COMPUTED_VALUE"""),"Особенности крупных стран Африки")</f>
        <v>Особенности крупных стран Африки</v>
      </c>
      <c r="R5" s="1">
        <f>IFERROR(__xludf.DUMMYFUNCTION("""COMPUTED_VALUE"""),804.0)</f>
        <v>804</v>
      </c>
      <c r="S5" s="1" t="str">
        <f>IFERROR(__xludf.DUMMYFUNCTION("""COMPUTED_VALUE"""),"Морские и сухопутные границы России")</f>
        <v>Морские и сухопутные границы России</v>
      </c>
      <c r="T5" s="1">
        <f>IFERROR(__xludf.DUMMYFUNCTION("""COMPUTED_VALUE"""),904.0)</f>
        <v>904</v>
      </c>
      <c r="U5" s="1" t="str">
        <f>IFERROR(__xludf.DUMMYFUNCTION("""COMPUTED_VALUE"""),"Основные месторожнения рудных полезных ископаемых")</f>
        <v>Основные месторожнения рудных полезных ископаемых</v>
      </c>
      <c r="V5" s="1">
        <f>IFERROR(__xludf.DUMMYFUNCTION("""COMPUTED_VALUE"""),1004.0)</f>
        <v>1004</v>
      </c>
      <c r="W5" s="1" t="str">
        <f>IFERROR(__xludf.DUMMYFUNCTION("""COMPUTED_VALUE"""),"Демографическая ситуация в стране. Демографическая политика ")</f>
        <v>Демографическая ситуация в стране. Демографическая политика </v>
      </c>
      <c r="X5" s="1">
        <f>IFERROR(__xludf.DUMMYFUNCTION("""COMPUTED_VALUE"""),1104.0)</f>
        <v>1104</v>
      </c>
      <c r="Y5" s="1" t="str">
        <f>IFERROR(__xludf.DUMMYFUNCTION("""COMPUTED_VALUE"""),"Картографический метод")</f>
        <v>Картографический метод</v>
      </c>
      <c r="Z5" s="1">
        <f>IFERROR(__xludf.DUMMYFUNCTION("""COMPUTED_VALUE"""),1204.0)</f>
        <v>1204</v>
      </c>
    </row>
    <row r="6">
      <c r="A6" s="1" t="str">
        <f>IFERROR(__xludf.DUMMYFUNCTION("""COMPUTED_VALUE"""),"Масштаб ")</f>
        <v>Масштаб </v>
      </c>
      <c r="B6" s="1">
        <f>IFERROR(__xludf.DUMMYFUNCTION("""COMPUTED_VALUE"""),5.0)</f>
        <v>5</v>
      </c>
      <c r="C6" s="1" t="str">
        <f>IFERROR(__xludf.DUMMYFUNCTION("""COMPUTED_VALUE"""),"Великие географические открытия")</f>
        <v>Великие географические открытия</v>
      </c>
      <c r="D6" s="1">
        <f>IFERROR(__xludf.DUMMYFUNCTION("""COMPUTED_VALUE"""),105.0)</f>
        <v>105</v>
      </c>
      <c r="E6" s="1" t="str">
        <f>IFERROR(__xludf.DUMMYFUNCTION("""COMPUTED_VALUE"""),"Форма и размеры Земли")</f>
        <v>Форма и размеры Земли</v>
      </c>
      <c r="F6" s="1">
        <f>IFERROR(__xludf.DUMMYFUNCTION("""COMPUTED_VALUE"""),205.0)</f>
        <v>205</v>
      </c>
      <c r="G6" s="1" t="str">
        <f>IFERROR(__xludf.DUMMYFUNCTION("""COMPUTED_VALUE""")," Земная кора. океаническая   ")</f>
        <v> Земная кора. океаническая   </v>
      </c>
      <c r="H6" s="1">
        <f>IFERROR(__xludf.DUMMYFUNCTION("""COMPUTED_VALUE"""),305.0)</f>
        <v>305</v>
      </c>
      <c r="I6" s="1" t="str">
        <f>IFERROR(__xludf.DUMMYFUNCTION("""COMPUTED_VALUE"""),"Атмосферное давление, изменение с высотой")</f>
        <v>Атмосферное давление, изменение с высотой</v>
      </c>
      <c r="J6" s="1">
        <f>IFERROR(__xludf.DUMMYFUNCTION("""COMPUTED_VALUE"""),405.0)</f>
        <v>405</v>
      </c>
      <c r="K6" s="1" t="str">
        <f>IFERROR(__xludf.DUMMYFUNCTION("""COMPUTED_VALUE"""),"Океанические течения")</f>
        <v>Океанические течения</v>
      </c>
      <c r="L6" s="1">
        <f>IFERROR(__xludf.DUMMYFUNCTION("""COMPUTED_VALUE"""),505.0)</f>
        <v>505</v>
      </c>
      <c r="M6" s="1" t="str">
        <f>IFERROR(__xludf.DUMMYFUNCTION("""COMPUTED_VALUE"""),"Почва как особое природное образование")</f>
        <v>Почва как особое природное образование</v>
      </c>
      <c r="N6" s="1">
        <f>IFERROR(__xludf.DUMMYFUNCTION("""COMPUTED_VALUE"""),605.0)</f>
        <v>605</v>
      </c>
      <c r="O6" s="1" t="str">
        <f>IFERROR(__xludf.DUMMYFUNCTION("""COMPUTED_VALUE"""),"Воспроизводство населения и его особенности по регионам  мира")</f>
        <v>Воспроизводство населения и его особенности по регионам  мира</v>
      </c>
      <c r="P6" s="1">
        <f>IFERROR(__xludf.DUMMYFUNCTION("""COMPUTED_VALUE"""),705.0)</f>
        <v>705</v>
      </c>
      <c r="Q6" s="1" t="str">
        <f>IFERROR(__xludf.DUMMYFUNCTION("""COMPUTED_VALUE"""),"Характерные чертыприроды Северной Америки")</f>
        <v>Характерные чертыприроды Северной Америки</v>
      </c>
      <c r="R6" s="1">
        <f>IFERROR(__xludf.DUMMYFUNCTION("""COMPUTED_VALUE"""),805.0)</f>
        <v>805</v>
      </c>
      <c r="S6" s="1" t="str">
        <f>IFERROR(__xludf.DUMMYFUNCTION("""COMPUTED_VALUE"""),"Граничащие государства")</f>
        <v>Граничащие государства</v>
      </c>
      <c r="T6" s="1">
        <f>IFERROR(__xludf.DUMMYFUNCTION("""COMPUTED_VALUE"""),905.0)</f>
        <v>905</v>
      </c>
      <c r="U6" s="1" t="str">
        <f>IFERROR(__xludf.DUMMYFUNCTION("""COMPUTED_VALUE"""),"Основные месторожнения нерудных полезных ископаемых")</f>
        <v>Основные месторожнения нерудных полезных ископаемых</v>
      </c>
      <c r="V6" s="1">
        <f>IFERROR(__xludf.DUMMYFUNCTION("""COMPUTED_VALUE"""),1005.0)</f>
        <v>1005</v>
      </c>
      <c r="W6" s="1" t="str">
        <f>IFERROR(__xludf.DUMMYFUNCTION("""COMPUTED_VALUE"""),"Анализ демографических пирамид")</f>
        <v>Анализ демографических пирамид</v>
      </c>
      <c r="X6" s="1">
        <f>IFERROR(__xludf.DUMMYFUNCTION("""COMPUTED_VALUE"""),1105.0)</f>
        <v>1105</v>
      </c>
      <c r="Y6" s="1" t="str">
        <f>IFERROR(__xludf.DUMMYFUNCTION("""COMPUTED_VALUE"""),"Статистический метод")</f>
        <v>Статистический метод</v>
      </c>
      <c r="Z6" s="1">
        <f>IFERROR(__xludf.DUMMYFUNCTION("""COMPUTED_VALUE"""),1205.0)</f>
        <v>1205</v>
      </c>
    </row>
    <row r="7">
      <c r="A7" s="1" t="str">
        <f>IFERROR(__xludf.DUMMYFUNCTION("""COMPUTED_VALUE"""),"Градусная сеть")</f>
        <v>Градусная сеть</v>
      </c>
      <c r="B7" s="1">
        <f>IFERROR(__xludf.DUMMYFUNCTION("""COMPUTED_VALUE"""),6.0)</f>
        <v>6</v>
      </c>
      <c r="C7" s="1" t="str">
        <f>IFERROR(__xludf.DUMMYFUNCTION("""COMPUTED_VALUE"""),"Бартоломеу Диаш")</f>
        <v>Бартоломеу Диаш</v>
      </c>
      <c r="D7" s="1">
        <f>IFERROR(__xludf.DUMMYFUNCTION("""COMPUTED_VALUE"""),106.0)</f>
        <v>106</v>
      </c>
      <c r="E7" s="1" t="str">
        <f>IFERROR(__xludf.DUMMYFUNCTION("""COMPUTED_VALUE""")," Вращение Земли вокруг своей оси")</f>
        <v> Вращение Земли вокруг своей оси</v>
      </c>
      <c r="F7" s="1">
        <f>IFERROR(__xludf.DUMMYFUNCTION("""COMPUTED_VALUE"""),206.0)</f>
        <v>206</v>
      </c>
      <c r="G7" s="1" t="str">
        <f>IFERROR(__xludf.DUMMYFUNCTION("""COMPUTED_VALUE"""),"Мантия")</f>
        <v>Мантия</v>
      </c>
      <c r="H7" s="1">
        <f>IFERROR(__xludf.DUMMYFUNCTION("""COMPUTED_VALUE"""),306.0)</f>
        <v>306</v>
      </c>
      <c r="I7" s="1" t="str">
        <f>IFERROR(__xludf.DUMMYFUNCTION("""COMPUTED_VALUE"""),"Изменение температуры воздуха с географической широтой")</f>
        <v>Изменение температуры воздуха с географической широтой</v>
      </c>
      <c r="J7" s="1">
        <f>IFERROR(__xludf.DUMMYFUNCTION("""COMPUTED_VALUE"""),406.0)</f>
        <v>406</v>
      </c>
      <c r="K7" s="1" t="str">
        <f>IFERROR(__xludf.DUMMYFUNCTION("""COMPUTED_VALUE"""),"Изменение температуры поверхностных вод с географической широтой")</f>
        <v>Изменение температуры поверхностных вод с географической широтой</v>
      </c>
      <c r="L7" s="1">
        <f>IFERROR(__xludf.DUMMYFUNCTION("""COMPUTED_VALUE"""),506.0)</f>
        <v>506</v>
      </c>
      <c r="M7" s="1" t="str">
        <f>IFERROR(__xludf.DUMMYFUNCTION("""COMPUTED_VALUE"""),"Факторы почвообразования")</f>
        <v>Факторы почвообразования</v>
      </c>
      <c r="N7" s="1">
        <f>IFERROR(__xludf.DUMMYFUNCTION("""COMPUTED_VALUE"""),606.0)</f>
        <v>606</v>
      </c>
      <c r="O7" s="1" t="str">
        <f>IFERROR(__xludf.DUMMYFUNCTION("""COMPUTED_VALUE"""),"Демографическая политика")</f>
        <v>Демографическая политика</v>
      </c>
      <c r="P7" s="1">
        <f>IFERROR(__xludf.DUMMYFUNCTION("""COMPUTED_VALUE"""),706.0)</f>
        <v>706</v>
      </c>
      <c r="Q7" s="1" t="str">
        <f>IFERROR(__xludf.DUMMYFUNCTION("""COMPUTED_VALUE"""),"Особенности крупных стран Северной Америки")</f>
        <v>Особенности крупных стран Северной Америки</v>
      </c>
      <c r="R7" s="1">
        <f>IFERROR(__xludf.DUMMYFUNCTION("""COMPUTED_VALUE"""),806.0)</f>
        <v>806</v>
      </c>
      <c r="S7" s="1" t="str">
        <f>IFERROR(__xludf.DUMMYFUNCTION("""COMPUTED_VALUE"""),"Федеративное устройство России")</f>
        <v>Федеративное устройство России</v>
      </c>
      <c r="T7" s="1">
        <f>IFERROR(__xludf.DUMMYFUNCTION("""COMPUTED_VALUE"""),906.0)</f>
        <v>906</v>
      </c>
      <c r="U7" s="1" t="str">
        <f>IFERROR(__xludf.DUMMYFUNCTION("""COMPUTED_VALUE"""),"Основные месторожнения топливных полезных ископаемых")</f>
        <v>Основные месторожнения топливных полезных ископаемых</v>
      </c>
      <c r="V7" s="1">
        <f>IFERROR(__xludf.DUMMYFUNCTION("""COMPUTED_VALUE"""),1006.0)</f>
        <v>1006</v>
      </c>
      <c r="W7" s="1" t="str">
        <f>IFERROR(__xludf.DUMMYFUNCTION("""COMPUTED_VALUE"""),"Размещение и плотность населения России. Основная полоса расселения")</f>
        <v>Размещение и плотность населения России. Основная полоса расселения</v>
      </c>
      <c r="X7" s="1">
        <f>IFERROR(__xludf.DUMMYFUNCTION("""COMPUTED_VALUE"""),1106.0)</f>
        <v>1106</v>
      </c>
      <c r="Y7" s="1" t="str">
        <f>IFERROR(__xludf.DUMMYFUNCTION("""COMPUTED_VALUE"""),"Полевой (экспедиционный) метод")</f>
        <v>Полевой (экспедиционный) метод</v>
      </c>
      <c r="Z7" s="1">
        <f>IFERROR(__xludf.DUMMYFUNCTION("""COMPUTED_VALUE"""),1206.0)</f>
        <v>1206</v>
      </c>
    </row>
    <row r="8">
      <c r="A8" s="1" t="str">
        <f>IFERROR(__xludf.DUMMYFUNCTION("""COMPUTED_VALUE"""),"Параллели")</f>
        <v>Параллели</v>
      </c>
      <c r="B8" s="1">
        <f>IFERROR(__xludf.DUMMYFUNCTION("""COMPUTED_VALUE"""),7.0)</f>
        <v>7</v>
      </c>
      <c r="C8" s="1" t="str">
        <f>IFERROR(__xludf.DUMMYFUNCTION("""COMPUTED_VALUE"""),"Христофор Колумб")</f>
        <v>Христофор Колумб</v>
      </c>
      <c r="D8" s="1">
        <f>IFERROR(__xludf.DUMMYFUNCTION("""COMPUTED_VALUE"""),107.0)</f>
        <v>107</v>
      </c>
      <c r="E8" s="1" t="str">
        <f>IFERROR(__xludf.DUMMYFUNCTION("""COMPUTED_VALUE""")," Движение Земли вокруг Солнца. Смена времен года в обоих полушариях ")</f>
        <v> Движение Земли вокруг Солнца. Смена времен года в обоих полушариях </v>
      </c>
      <c r="F8" s="1">
        <f>IFERROR(__xludf.DUMMYFUNCTION("""COMPUTED_VALUE"""),207.0)</f>
        <v>207</v>
      </c>
      <c r="G8" s="1" t="str">
        <f>IFERROR(__xludf.DUMMYFUNCTION("""COMPUTED_VALUE"""),"Ядро")</f>
        <v>Ядро</v>
      </c>
      <c r="H8" s="1">
        <f>IFERROR(__xludf.DUMMYFUNCTION("""COMPUTED_VALUE"""),307.0)</f>
        <v>307</v>
      </c>
      <c r="I8" s="1" t="str">
        <f>IFERROR(__xludf.DUMMYFUNCTION("""COMPUTED_VALUE"""),"Влажность воздуха (абсолютная и относительная)")</f>
        <v>Влажность воздуха (абсолютная и относительная)</v>
      </c>
      <c r="J8" s="1">
        <f>IFERROR(__xludf.DUMMYFUNCTION("""COMPUTED_VALUE"""),407.0)</f>
        <v>407</v>
      </c>
      <c r="K8" s="1" t="str">
        <f>IFERROR(__xludf.DUMMYFUNCTION("""COMPUTED_VALUE"""),"Соленость воды")</f>
        <v>Соленость воды</v>
      </c>
      <c r="L8" s="1">
        <f>IFERROR(__xludf.DUMMYFUNCTION("""COMPUTED_VALUE"""),507.0)</f>
        <v>507</v>
      </c>
      <c r="M8" s="1" t="str">
        <f>IFERROR(__xludf.DUMMYFUNCTION("""COMPUTED_VALUE"""),"Почвенные горизонты")</f>
        <v>Почвенные горизонты</v>
      </c>
      <c r="N8" s="1">
        <f>IFERROR(__xludf.DUMMYFUNCTION("""COMPUTED_VALUE"""),607.0)</f>
        <v>607</v>
      </c>
      <c r="O8" s="1" t="str">
        <f>IFERROR(__xludf.DUMMYFUNCTION("""COMPUTED_VALUE"""),"Миграция. Типы миграций в мире")</f>
        <v>Миграция. Типы миграций в мире</v>
      </c>
      <c r="P8" s="1">
        <f>IFERROR(__xludf.DUMMYFUNCTION("""COMPUTED_VALUE"""),707.0)</f>
        <v>707</v>
      </c>
      <c r="Q8" s="1" t="str">
        <f>IFERROR(__xludf.DUMMYFUNCTION("""COMPUTED_VALUE"""),"Характерные черты природы Южной Америки")</f>
        <v>Характерные черты природы Южной Америки</v>
      </c>
      <c r="R8" s="1">
        <f>IFERROR(__xludf.DUMMYFUNCTION("""COMPUTED_VALUE"""),807.0)</f>
        <v>807</v>
      </c>
      <c r="S8" s="1" t="str">
        <f>IFERROR(__xludf.DUMMYFUNCTION("""COMPUTED_VALUE"""),"Часовые зоны")</f>
        <v>Часовые зоны</v>
      </c>
      <c r="T8" s="1">
        <f>IFERROR(__xludf.DUMMYFUNCTION("""COMPUTED_VALUE"""),907.0)</f>
        <v>907</v>
      </c>
      <c r="U8" s="1" t="str">
        <f>IFERROR(__xludf.DUMMYFUNCTION("""COMPUTED_VALUE"""),"Особенности рельефа территории России")</f>
        <v>Особенности рельефа территории России</v>
      </c>
      <c r="V8" s="1">
        <f>IFERROR(__xludf.DUMMYFUNCTION("""COMPUTED_VALUE"""),1007.0)</f>
        <v>1007</v>
      </c>
      <c r="W8" s="1" t="str">
        <f>IFERROR(__xludf.DUMMYFUNCTION("""COMPUTED_VALUE"""),"Направления и типы миграций в России")</f>
        <v>Направления и типы миграций в России</v>
      </c>
      <c r="X8" s="1">
        <f>IFERROR(__xludf.DUMMYFUNCTION("""COMPUTED_VALUE"""),1107.0)</f>
        <v>1107</v>
      </c>
      <c r="Y8" s="1" t="str">
        <f>IFERROR(__xludf.DUMMYFUNCTION("""COMPUTED_VALUE"""),"Математический метод")</f>
        <v>Математический метод</v>
      </c>
      <c r="Z8" s="1">
        <f>IFERROR(__xludf.DUMMYFUNCTION("""COMPUTED_VALUE"""),1207.0)</f>
        <v>1207</v>
      </c>
    </row>
    <row r="9">
      <c r="A9" s="1" t="str">
        <f>IFERROR(__xludf.DUMMYFUNCTION("""COMPUTED_VALUE"""),"Меридианы")</f>
        <v>Меридианы</v>
      </c>
      <c r="B9" s="1">
        <f>IFERROR(__xludf.DUMMYFUNCTION("""COMPUTED_VALUE"""),8.0)</f>
        <v>8</v>
      </c>
      <c r="C9" s="1" t="str">
        <f>IFERROR(__xludf.DUMMYFUNCTION("""COMPUTED_VALUE"""),"Фернан Магеллан")</f>
        <v>Фернан Магеллан</v>
      </c>
      <c r="D9" s="1">
        <f>IFERROR(__xludf.DUMMYFUNCTION("""COMPUTED_VALUE"""),108.0)</f>
        <v>108</v>
      </c>
      <c r="E9" s="1" t="str">
        <f>IFERROR(__xludf.DUMMYFUNCTION("""COMPUTED_VALUE"""),"Распределение солнечного света и тепла на поверхности Земли")</f>
        <v>Распределение солнечного света и тепла на поверхности Земли</v>
      </c>
      <c r="F9" s="1">
        <f>IFERROR(__xludf.DUMMYFUNCTION("""COMPUTED_VALUE"""),208.0)</f>
        <v>208</v>
      </c>
      <c r="G9" s="1" t="str">
        <f>IFERROR(__xludf.DUMMYFUNCTION("""COMPUTED_VALUE"""),"Минералы")</f>
        <v>Минералы</v>
      </c>
      <c r="H9" s="1">
        <f>IFERROR(__xludf.DUMMYFUNCTION("""COMPUTED_VALUE"""),308.0)</f>
        <v>308</v>
      </c>
      <c r="I9" s="1" t="str">
        <f>IFERROR(__xludf.DUMMYFUNCTION("""COMPUTED_VALUE"""),"Солнечная радиация")</f>
        <v>Солнечная радиация</v>
      </c>
      <c r="J9" s="1">
        <f>IFERROR(__xludf.DUMMYFUNCTION("""COMPUTED_VALUE"""),408.0)</f>
        <v>408</v>
      </c>
      <c r="K9" s="1" t="str">
        <f>IFERROR(__xludf.DUMMYFUNCTION("""COMPUTED_VALUE"""),"Теплообмен океана и суши")</f>
        <v>Теплообмен океана и суши</v>
      </c>
      <c r="L9" s="1">
        <f>IFERROR(__xludf.DUMMYFUNCTION("""COMPUTED_VALUE"""),508.0)</f>
        <v>508</v>
      </c>
      <c r="M9" s="1" t="str">
        <f>IFERROR(__xludf.DUMMYFUNCTION("""COMPUTED_VALUE"""),"Основные типы почв")</f>
        <v>Основные типы почв</v>
      </c>
      <c r="N9" s="1">
        <f>IFERROR(__xludf.DUMMYFUNCTION("""COMPUTED_VALUE"""),608.0)</f>
        <v>608</v>
      </c>
      <c r="O9" s="1" t="str">
        <f>IFERROR(__xludf.DUMMYFUNCTION("""COMPUTED_VALUE"""),"Основные направления миграций в мире")</f>
        <v>Основные направления миграций в мире</v>
      </c>
      <c r="P9" s="1">
        <f>IFERROR(__xludf.DUMMYFUNCTION("""COMPUTED_VALUE"""),708.0)</f>
        <v>708</v>
      </c>
      <c r="Q9" s="1" t="str">
        <f>IFERROR(__xludf.DUMMYFUNCTION("""COMPUTED_VALUE"""),"Особенности крупных стран Южной Америки")</f>
        <v>Особенности крупных стран Южной Америки</v>
      </c>
      <c r="R9" s="1">
        <f>IFERROR(__xludf.DUMMYFUNCTION("""COMPUTED_VALUE"""),808.0)</f>
        <v>808</v>
      </c>
      <c r="S9" s="1" t="str">
        <f>IFERROR(__xludf.DUMMYFUNCTION("""COMPUTED_VALUE"""),"Административно-территориальное устройство")</f>
        <v>Административно-территориальное устройство</v>
      </c>
      <c r="T9" s="1">
        <f>IFERROR(__xludf.DUMMYFUNCTION("""COMPUTED_VALUE"""),908.0)</f>
        <v>908</v>
      </c>
      <c r="U9" s="1" t="str">
        <f>IFERROR(__xludf.DUMMYFUNCTION("""COMPUTED_VALUE"""),"Процессы, формирующие рельеф территории России")</f>
        <v>Процессы, формирующие рельеф территории России</v>
      </c>
      <c r="V9" s="1">
        <f>IFERROR(__xludf.DUMMYFUNCTION("""COMPUTED_VALUE"""),1008.0)</f>
        <v>1008</v>
      </c>
      <c r="W9" s="1" t="str">
        <f>IFERROR(__xludf.DUMMYFUNCTION("""COMPUTED_VALUE"""),"Миграционный прирост населения")</f>
        <v>Миграционный прирост населения</v>
      </c>
      <c r="X9" s="1">
        <f>IFERROR(__xludf.DUMMYFUNCTION("""COMPUTED_VALUE"""),1108.0)</f>
        <v>1108</v>
      </c>
      <c r="Y9" s="1" t="str">
        <f>IFERROR(__xludf.DUMMYFUNCTION("""COMPUTED_VALUE"""),"Аэрокосмический метод")</f>
        <v>Аэрокосмический метод</v>
      </c>
      <c r="Z9" s="1">
        <f>IFERROR(__xludf.DUMMYFUNCTION("""COMPUTED_VALUE"""),1208.0)</f>
        <v>1208</v>
      </c>
    </row>
    <row r="10">
      <c r="A10" s="1" t="str">
        <f>IFERROR(__xludf.DUMMYFUNCTION("""COMPUTED_VALUE"""),"Азимут")</f>
        <v>Азимут</v>
      </c>
      <c r="B10" s="1">
        <f>IFERROR(__xludf.DUMMYFUNCTION("""COMPUTED_VALUE"""),9.0)</f>
        <v>9</v>
      </c>
      <c r="C10" s="1" t="str">
        <f>IFERROR(__xludf.DUMMYFUNCTION("""COMPUTED_VALUE"""),"Виллем Янц")</f>
        <v>Виллем Янц</v>
      </c>
      <c r="D10" s="1">
        <f>IFERROR(__xludf.DUMMYFUNCTION("""COMPUTED_VALUE"""),109.0)</f>
        <v>109</v>
      </c>
      <c r="E10" s="1" t="str">
        <f>IFERROR(__xludf.DUMMYFUNCTION("""COMPUTED_VALUE"""),"Зависимость высоты Солнца над горизонтом от географической широты, формула ")</f>
        <v>Зависимость высоты Солнца над горизонтом от географической широты, формула </v>
      </c>
      <c r="F10" s="1">
        <f>IFERROR(__xludf.DUMMYFUNCTION("""COMPUTED_VALUE"""),210.0)</f>
        <v>210</v>
      </c>
      <c r="G10" s="1" t="str">
        <f>IFERROR(__xludf.DUMMYFUNCTION("""COMPUTED_VALUE"""),"Горные породы")</f>
        <v>Горные породы</v>
      </c>
      <c r="H10" s="1">
        <f>IFERROR(__xludf.DUMMYFUNCTION("""COMPUTED_VALUE"""),309.0)</f>
        <v>309</v>
      </c>
      <c r="I10" s="1" t="str">
        <f>IFERROR(__xludf.DUMMYFUNCTION("""COMPUTED_VALUE"""),"Прямая солнечная радиация")</f>
        <v>Прямая солнечная радиация</v>
      </c>
      <c r="J10" s="1">
        <f>IFERROR(__xludf.DUMMYFUNCTION("""COMPUTED_VALUE"""),409.0)</f>
        <v>409</v>
      </c>
      <c r="K10" s="1" t="str">
        <f>IFERROR(__xludf.DUMMYFUNCTION("""COMPUTED_VALUE"""),"Факторы, влияющие на изменение солености воды")</f>
        <v>Факторы, влияющие на изменение солености воды</v>
      </c>
      <c r="L10" s="1">
        <f>IFERROR(__xludf.DUMMYFUNCTION("""COMPUTED_VALUE"""),509.0)</f>
        <v>509</v>
      </c>
      <c r="M10" s="1" t="str">
        <f>IFERROR(__xludf.DUMMYFUNCTION("""COMPUTED_VALUE"""),"Смена типов почв с географической широтой")</f>
        <v>Смена типов почв с географической широтой</v>
      </c>
      <c r="N10" s="1">
        <f>IFERROR(__xludf.DUMMYFUNCTION("""COMPUTED_VALUE"""),609.0)</f>
        <v>609</v>
      </c>
      <c r="O10" s="1" t="str">
        <f>IFERROR(__xludf.DUMMYFUNCTION("""COMPUTED_VALUE"""),"Расовый состав населения Земли")</f>
        <v>Расовый состав населения Земли</v>
      </c>
      <c r="P10" s="1">
        <f>IFERROR(__xludf.DUMMYFUNCTION("""COMPUTED_VALUE"""),709.0)</f>
        <v>709</v>
      </c>
      <c r="Q10" s="1" t="str">
        <f>IFERROR(__xludf.DUMMYFUNCTION("""COMPUTED_VALUE"""),"Характерные черты природы Австралии")</f>
        <v>Характерные черты природы Австралии</v>
      </c>
      <c r="R10" s="1">
        <f>IFERROR(__xludf.DUMMYFUNCTION("""COMPUTED_VALUE"""),809.0)</f>
        <v>809</v>
      </c>
      <c r="S10" s="1" t="str">
        <f>IFERROR(__xludf.DUMMYFUNCTION("""COMPUTED_VALUE"""),"Крайние точки")</f>
        <v>Крайние точки</v>
      </c>
      <c r="T10" s="1">
        <f>IFERROR(__xludf.DUMMYFUNCTION("""COMPUTED_VALUE"""),909.0)</f>
        <v>909</v>
      </c>
      <c r="U10" s="1" t="str">
        <f>IFERROR(__xludf.DUMMYFUNCTION("""COMPUTED_VALUE"""),"Объекты рельефа территории Росии")</f>
        <v>Объекты рельефа территории Росии</v>
      </c>
      <c r="V10" s="1">
        <f>IFERROR(__xludf.DUMMYFUNCTION("""COMPUTED_VALUE"""),1009.0)</f>
        <v>1009</v>
      </c>
      <c r="W10" s="1" t="str">
        <f>IFERROR(__xludf.DUMMYFUNCTION("""COMPUTED_VALUE"""),"Общий прирост населения")</f>
        <v>Общий прирост населения</v>
      </c>
      <c r="X10" s="1">
        <f>IFERROR(__xludf.DUMMYFUNCTION("""COMPUTED_VALUE"""),1109.0)</f>
        <v>1109</v>
      </c>
      <c r="Y10" s="1" t="str">
        <f>IFERROR(__xludf.DUMMYFUNCTION("""COMPUTED_VALUE"""),"Геоинформационный метод")</f>
        <v>Геоинформационный метод</v>
      </c>
      <c r="Z10" s="1">
        <f>IFERROR(__xludf.DUMMYFUNCTION("""COMPUTED_VALUE"""),1209.0)</f>
        <v>1209</v>
      </c>
    </row>
    <row r="11">
      <c r="A11" s="1" t="str">
        <f>IFERROR(__xludf.DUMMYFUNCTION("""COMPUTED_VALUE"""),"Определение координаты: широты и долготы точки")</f>
        <v>Определение координаты: широты и долготы точки</v>
      </c>
      <c r="B11" s="1">
        <f>IFERROR(__xludf.DUMMYFUNCTION("""COMPUTED_VALUE"""),10.0)</f>
        <v>10</v>
      </c>
      <c r="C11" s="1" t="str">
        <f>IFERROR(__xludf.DUMMYFUNCTION("""COMPUTED_VALUE"""),"Дежнёв Семён Иванович")</f>
        <v>Дежнёв Семён Иванович</v>
      </c>
      <c r="D11" s="1">
        <f>IFERROR(__xludf.DUMMYFUNCTION("""COMPUTED_VALUE"""),110.0)</f>
        <v>110</v>
      </c>
      <c r="E11" s="1" t="str">
        <f>IFERROR(__xludf.DUMMYFUNCTION("""COMPUTED_VALUE"""),"Земная ось ")</f>
        <v>Земная ось </v>
      </c>
      <c r="F11" s="1">
        <f>IFERROR(__xludf.DUMMYFUNCTION("""COMPUTED_VALUE"""),211.0)</f>
        <v>211</v>
      </c>
      <c r="G11" s="1" t="str">
        <f>IFERROR(__xludf.DUMMYFUNCTION("""COMPUTED_VALUE"""),"Полезные ископаемые")</f>
        <v>Полезные ископаемые</v>
      </c>
      <c r="H11" s="1">
        <f>IFERROR(__xludf.DUMMYFUNCTION("""COMPUTED_VALUE"""),310.0)</f>
        <v>310</v>
      </c>
      <c r="I11" s="1" t="str">
        <f>IFERROR(__xludf.DUMMYFUNCTION("""COMPUTED_VALUE"""),"Рассеянная солнечная радиация")</f>
        <v>Рассеянная солнечная радиация</v>
      </c>
      <c r="J11" s="1">
        <f>IFERROR(__xludf.DUMMYFUNCTION("""COMPUTED_VALUE"""),410.0)</f>
        <v>410</v>
      </c>
      <c r="K11" s="1" t="str">
        <f>IFERROR(__xludf.DUMMYFUNCTION("""COMPUTED_VALUE"""),"Река и ее строение")</f>
        <v>Река и ее строение</v>
      </c>
      <c r="L11" s="1">
        <f>IFERROR(__xludf.DUMMYFUNCTION("""COMPUTED_VALUE"""),510.0)</f>
        <v>510</v>
      </c>
      <c r="M11" s="1" t="str">
        <f>IFERROR(__xludf.DUMMYFUNCTION("""COMPUTED_VALUE"""),"Понятие ""географическая оболочка Земли""")</f>
        <v>Понятие "географическая оболочка Земли"</v>
      </c>
      <c r="N11" s="1">
        <f>IFERROR(__xludf.DUMMYFUNCTION("""COMPUTED_VALUE"""),610.0)</f>
        <v>610</v>
      </c>
      <c r="O11" s="1" t="str">
        <f>IFERROR(__xludf.DUMMYFUNCTION("""COMPUTED_VALUE"""),"Этнический состав населения Земли")</f>
        <v>Этнический состав населения Земли</v>
      </c>
      <c r="P11" s="1">
        <f>IFERROR(__xludf.DUMMYFUNCTION("""COMPUTED_VALUE"""),710.0)</f>
        <v>710</v>
      </c>
      <c r="Q11" s="1" t="str">
        <f>IFERROR(__xludf.DUMMYFUNCTION("""COMPUTED_VALUE"""),"Австралийский Союз и Океания")</f>
        <v>Австралийский Союз и Океания</v>
      </c>
      <c r="R11" s="1">
        <f>IFERROR(__xludf.DUMMYFUNCTION("""COMPUTED_VALUE"""),810.0)</f>
        <v>810</v>
      </c>
      <c r="S11" s="1" t="str">
        <f>IFERROR(__xludf.DUMMYFUNCTION("""COMPUTED_VALUE"""),"Федеральные округа")</f>
        <v>Федеральные округа</v>
      </c>
      <c r="T11" s="1">
        <f>IFERROR(__xludf.DUMMYFUNCTION("""COMPUTED_VALUE"""),911.0)</f>
        <v>911</v>
      </c>
      <c r="U11" s="1" t="str">
        <f>IFERROR(__xludf.DUMMYFUNCTION("""COMPUTED_VALUE"""),"Объекты: части суши, прилежащие к территории России (острова, полустрова, архипелаги)")</f>
        <v>Объекты: части суши, прилежащие к территории России (острова, полустрова, архипелаги)</v>
      </c>
      <c r="V11" s="1">
        <f>IFERROR(__xludf.DUMMYFUNCTION("""COMPUTED_VALUE"""),1010.0)</f>
        <v>1010</v>
      </c>
      <c r="W11" s="1" t="str">
        <f>IFERROR(__xludf.DUMMYFUNCTION("""COMPUTED_VALUE"""),"Национальный состав населения России")</f>
        <v>Национальный состав населения России</v>
      </c>
      <c r="X11" s="1">
        <f>IFERROR(__xludf.DUMMYFUNCTION("""COMPUTED_VALUE"""),1110.0)</f>
        <v>1110</v>
      </c>
      <c r="Y11" s="1" t="str">
        <f>IFERROR(__xludf.DUMMYFUNCTION("""COMPUTED_VALUE"""),"Метод районирования ")</f>
        <v>Метод районирования </v>
      </c>
      <c r="Z11" s="1">
        <f>IFERROR(__xludf.DUMMYFUNCTION("""COMPUTED_VALUE"""),1210.0)</f>
        <v>1210</v>
      </c>
    </row>
    <row r="12">
      <c r="A12" s="1" t="str">
        <f>IFERROR(__xludf.DUMMYFUNCTION("""COMPUTED_VALUE"""),"Определение расстояний по карте с применением масштаба")</f>
        <v>Определение расстояний по карте с применением масштаба</v>
      </c>
      <c r="B12" s="1">
        <f>IFERROR(__xludf.DUMMYFUNCTION("""COMPUTED_VALUE"""),11.0)</f>
        <v>11</v>
      </c>
      <c r="C12" s="1" t="str">
        <f>IFERROR(__xludf.DUMMYFUNCTION("""COMPUTED_VALUE"""),"Кук Джеймс")</f>
        <v>Кук Джеймс</v>
      </c>
      <c r="D12" s="1">
        <f>IFERROR(__xludf.DUMMYFUNCTION("""COMPUTED_VALUE"""),111.0)</f>
        <v>111</v>
      </c>
      <c r="E12" s="1" t="str">
        <f>IFERROR(__xludf.DUMMYFUNCTION("""COMPUTED_VALUE"""),"Полюс северный")</f>
        <v>Полюс северный</v>
      </c>
      <c r="F12" s="1">
        <f>IFERROR(__xludf.DUMMYFUNCTION("""COMPUTED_VALUE"""),212.0)</f>
        <v>212</v>
      </c>
      <c r="G12" s="1" t="str">
        <f>IFERROR(__xludf.DUMMYFUNCTION("""COMPUTED_VALUE"""),"Магматические горные породы")</f>
        <v>Магматические горные породы</v>
      </c>
      <c r="H12" s="1">
        <f>IFERROR(__xludf.DUMMYFUNCTION("""COMPUTED_VALUE"""),311.0)</f>
        <v>311</v>
      </c>
      <c r="I12" s="1" t="str">
        <f>IFERROR(__xludf.DUMMYFUNCTION("""COMPUTED_VALUE"""),"Отраженная солнечная радиация, альбедо")</f>
        <v>Отраженная солнечная радиация, альбедо</v>
      </c>
      <c r="J12" s="1">
        <f>IFERROR(__xludf.DUMMYFUNCTION("""COMPUTED_VALUE"""),411.0)</f>
        <v>411</v>
      </c>
      <c r="K12" s="1" t="str">
        <f>IFERROR(__xludf.DUMMYFUNCTION("""COMPUTED_VALUE"""),"Озера и их классификация по образованию котловин, составу воды, водному режиму")</f>
        <v>Озера и их классификация по образованию котловин, составу воды, водному режиму</v>
      </c>
      <c r="L12" s="1">
        <f>IFERROR(__xludf.DUMMYFUNCTION("""COMPUTED_VALUE"""),511.0)</f>
        <v>511</v>
      </c>
      <c r="M12" s="1" t="str">
        <f>IFERROR(__xludf.DUMMYFUNCTION("""COMPUTED_VALUE"""),"Природный комплекс")</f>
        <v>Природный комплекс</v>
      </c>
      <c r="N12" s="1">
        <f>IFERROR(__xludf.DUMMYFUNCTION("""COMPUTED_VALUE"""),611.0)</f>
        <v>611</v>
      </c>
      <c r="O12" s="1" t="str">
        <f>IFERROR(__xludf.DUMMYFUNCTION("""COMPUTED_VALUE"""),"Языковые семьи и языковые группы")</f>
        <v>Языковые семьи и языковые группы</v>
      </c>
      <c r="P12" s="1">
        <f>IFERROR(__xludf.DUMMYFUNCTION("""COMPUTED_VALUE"""),711.0)</f>
        <v>711</v>
      </c>
      <c r="Q12" s="1" t="str">
        <f>IFERROR(__xludf.DUMMYFUNCTION("""COMPUTED_VALUE"""),"Характерные черты природы Евразии")</f>
        <v>Характерные черты природы Евразии</v>
      </c>
      <c r="R12" s="1">
        <f>IFERROR(__xludf.DUMMYFUNCTION("""COMPUTED_VALUE"""),811.0)</f>
        <v>811</v>
      </c>
      <c r="S12" s="1" t="str">
        <f>IFERROR(__xludf.DUMMYFUNCTION("""COMPUTED_VALUE"""),"Субъекты федерации и их административные центры")</f>
        <v>Субъекты федерации и их административные центры</v>
      </c>
      <c r="T12" s="1">
        <f>IFERROR(__xludf.DUMMYFUNCTION("""COMPUTED_VALUE"""),912.0)</f>
        <v>912</v>
      </c>
      <c r="U12" s="1" t="str">
        <f>IFERROR(__xludf.DUMMYFUNCTION("""COMPUTED_VALUE"""),"Климатообразующие факторы на территории России")</f>
        <v>Климатообразующие факторы на территории России</v>
      </c>
      <c r="V12" s="1">
        <f>IFERROR(__xludf.DUMMYFUNCTION("""COMPUTED_VALUE"""),1011.0)</f>
        <v>1011</v>
      </c>
      <c r="W12" s="1" t="str">
        <f>IFERROR(__xludf.DUMMYFUNCTION("""COMPUTED_VALUE"""),"География религий России")</f>
        <v>География религий России</v>
      </c>
      <c r="X12" s="1">
        <f>IFERROR(__xludf.DUMMYFUNCTION("""COMPUTED_VALUE"""),1111.0)</f>
        <v>1111</v>
      </c>
      <c r="Y12" s="1" t="str">
        <f>IFERROR(__xludf.DUMMYFUNCTION("""COMPUTED_VALUE"""),"Навык чтения карт ")</f>
        <v>Навык чтения карт </v>
      </c>
      <c r="Z12" s="1">
        <f>IFERROR(__xludf.DUMMYFUNCTION("""COMPUTED_VALUE"""),1211.0)</f>
        <v>1211</v>
      </c>
    </row>
    <row r="13">
      <c r="A13" s="1" t="str">
        <f>IFERROR(__xludf.DUMMYFUNCTION("""COMPUTED_VALUE"""),"Легенда карты")</f>
        <v>Легенда карты</v>
      </c>
      <c r="B13" s="1">
        <f>IFERROR(__xludf.DUMMYFUNCTION("""COMPUTED_VALUE"""),12.0)</f>
        <v>12</v>
      </c>
      <c r="C13" s="1" t="str">
        <f>IFERROR(__xludf.DUMMYFUNCTION("""COMPUTED_VALUE"""),"Фаддей Беллинсгаузен   и Михаил Лазарев ")</f>
        <v>Фаддей Беллинсгаузен   и Михаил Лазарев </v>
      </c>
      <c r="D13" s="1">
        <f>IFERROR(__xludf.DUMMYFUNCTION("""COMPUTED_VALUE"""),112.0)</f>
        <v>112</v>
      </c>
      <c r="E13" s="1" t="str">
        <f>IFERROR(__xludf.DUMMYFUNCTION("""COMPUTED_VALUE"""),"Полюс южный")</f>
        <v>Полюс южный</v>
      </c>
      <c r="F13" s="1">
        <f>IFERROR(__xludf.DUMMYFUNCTION("""COMPUTED_VALUE"""),213.0)</f>
        <v>213</v>
      </c>
      <c r="G13" s="1" t="str">
        <f>IFERROR(__xludf.DUMMYFUNCTION("""COMPUTED_VALUE"""),"Метаморфические горные породы")</f>
        <v>Метаморфические горные породы</v>
      </c>
      <c r="H13" s="1">
        <f>IFERROR(__xludf.DUMMYFUNCTION("""COMPUTED_VALUE"""),312.0)</f>
        <v>312</v>
      </c>
      <c r="I13" s="1" t="str">
        <f>IFERROR(__xludf.DUMMYFUNCTION("""COMPUTED_VALUE"""),"Суммарная солнечная радиация и ее распределение по поверхности Земли")</f>
        <v>Суммарная солнечная радиация и ее распределение по поверхности Земли</v>
      </c>
      <c r="J13" s="1">
        <f>IFERROR(__xludf.DUMMYFUNCTION("""COMPUTED_VALUE"""),412.0)</f>
        <v>412</v>
      </c>
      <c r="K13" s="1" t="str">
        <f>IFERROR(__xludf.DUMMYFUNCTION("""COMPUTED_VALUE"""),"Болота и их образование")</f>
        <v>Болота и их образование</v>
      </c>
      <c r="L13" s="1">
        <f>IFERROR(__xludf.DUMMYFUNCTION("""COMPUTED_VALUE"""),512.0)</f>
        <v>512</v>
      </c>
      <c r="M13" s="1" t="str">
        <f>IFERROR(__xludf.DUMMYFUNCTION("""COMPUTED_VALUE"""),"Природная зона")</f>
        <v>Природная зона</v>
      </c>
      <c r="N13" s="1">
        <f>IFERROR(__xludf.DUMMYFUNCTION("""COMPUTED_VALUE"""),612.0)</f>
        <v>612</v>
      </c>
      <c r="O13" s="1" t="str">
        <f>IFERROR(__xludf.DUMMYFUNCTION("""COMPUTED_VALUE"""),"География религий мира")</f>
        <v>География религий мира</v>
      </c>
      <c r="P13" s="1">
        <f>IFERROR(__xludf.DUMMYFUNCTION("""COMPUTED_VALUE"""),713.0)</f>
        <v>713</v>
      </c>
      <c r="Q13" s="1" t="str">
        <f>IFERROR(__xludf.DUMMYFUNCTION("""COMPUTED_VALUE"""),"Особенности крупных стран Европы")</f>
        <v>Особенности крупных стран Европы</v>
      </c>
      <c r="R13" s="1">
        <f>IFERROR(__xludf.DUMMYFUNCTION("""COMPUTED_VALUE"""),812.0)</f>
        <v>812</v>
      </c>
      <c r="S13" s="1" t="str">
        <f>IFERROR(__xludf.DUMMYFUNCTION("""COMPUTED_VALUE"""),"Моря, омывающие территорию России")</f>
        <v>Моря, омывающие территорию России</v>
      </c>
      <c r="T13" s="1">
        <f>IFERROR(__xludf.DUMMYFUNCTION("""COMPUTED_VALUE"""),914.0)</f>
        <v>914</v>
      </c>
      <c r="U13" s="1" t="str">
        <f>IFERROR(__xludf.DUMMYFUNCTION("""COMPUTED_VALUE"""),"Арктический климатический пояс (Россия)")</f>
        <v>Арктический климатический пояс (Россия)</v>
      </c>
      <c r="V13" s="1">
        <f>IFERROR(__xludf.DUMMYFUNCTION("""COMPUTED_VALUE"""),1012.0)</f>
        <v>1012</v>
      </c>
      <c r="W13" s="1" t="str">
        <f>IFERROR(__xludf.DUMMYFUNCTION("""COMPUTED_VALUE"""),"Языковой состав населения")</f>
        <v>Языковой состав населения</v>
      </c>
      <c r="X13" s="1">
        <f>IFERROR(__xludf.DUMMYFUNCTION("""COMPUTED_VALUE"""),1112.0)</f>
        <v>1112</v>
      </c>
      <c r="Y13" s="1" t="str">
        <f>IFERROR(__xludf.DUMMYFUNCTION("""COMPUTED_VALUE"""),"Навык применения условных обозначений")</f>
        <v>Навык применения условных обозначений</v>
      </c>
      <c r="Z13" s="1">
        <f>IFERROR(__xludf.DUMMYFUNCTION("""COMPUTED_VALUE"""),1212.0)</f>
        <v>1212</v>
      </c>
    </row>
    <row r="14">
      <c r="A14" s="1" t="str">
        <f>IFERROR(__xludf.DUMMYFUNCTION("""COMPUTED_VALUE"""),"Условные знаки топографических карт и планов")</f>
        <v>Условные знаки топографических карт и планов</v>
      </c>
      <c r="B14" s="1">
        <f>IFERROR(__xludf.DUMMYFUNCTION("""COMPUTED_VALUE"""),13.0)</f>
        <v>13</v>
      </c>
      <c r="C14" s="1" t="str">
        <f>IFERROR(__xludf.DUMMYFUNCTION("""COMPUTED_VALUE"""),"Миклухо-Маклай Николай Николаевич")</f>
        <v>Миклухо-Маклай Николай Николаевич</v>
      </c>
      <c r="D14" s="1">
        <f>IFERROR(__xludf.DUMMYFUNCTION("""COMPUTED_VALUE"""),113.0)</f>
        <v>113</v>
      </c>
      <c r="E14" s="1" t="str">
        <f>IFERROR(__xludf.DUMMYFUNCTION("""COMPUTED_VALUE"""),"Смена продолжительности дня и ночи в течение года")</f>
        <v>Смена продолжительности дня и ночи в течение года</v>
      </c>
      <c r="F14" s="1">
        <f>IFERROR(__xludf.DUMMYFUNCTION("""COMPUTED_VALUE"""),214.0)</f>
        <v>214</v>
      </c>
      <c r="G14" s="1" t="str">
        <f>IFERROR(__xludf.DUMMYFUNCTION("""COMPUTED_VALUE"""),"Осадочные горные породы")</f>
        <v>Осадочные горные породы</v>
      </c>
      <c r="H14" s="1">
        <f>IFERROR(__xludf.DUMMYFUNCTION("""COMPUTED_VALUE"""),313.0)</f>
        <v>313</v>
      </c>
      <c r="I14" s="1" t="str">
        <f>IFERROR(__xludf.DUMMYFUNCTION("""COMPUTED_VALUE"""),"Зональное распределение давления")</f>
        <v>Зональное распределение давления</v>
      </c>
      <c r="J14" s="1">
        <f>IFERROR(__xludf.DUMMYFUNCTION("""COMPUTED_VALUE"""),413.0)</f>
        <v>413</v>
      </c>
      <c r="K14" s="1" t="str">
        <f>IFERROR(__xludf.DUMMYFUNCTION("""COMPUTED_VALUE"""),"Ледники и их типы")</f>
        <v>Ледники и их типы</v>
      </c>
      <c r="L14" s="1">
        <f>IFERROR(__xludf.DUMMYFUNCTION("""COMPUTED_VALUE"""),513.0)</f>
        <v>513</v>
      </c>
      <c r="M14" s="1" t="str">
        <f>IFERROR(__xludf.DUMMYFUNCTION("""COMPUTED_VALUE"""),"Характерные черты природных зон")</f>
        <v>Характерные черты природных зон</v>
      </c>
      <c r="N14" s="1">
        <f>IFERROR(__xludf.DUMMYFUNCTION("""COMPUTED_VALUE"""),613.0)</f>
        <v>613</v>
      </c>
      <c r="O14" s="1" t="str">
        <f>IFERROR(__xludf.DUMMYFUNCTION("""COMPUTED_VALUE"""),"Географические особенности размещения населения мира")</f>
        <v>Географические особенности размещения населения мира</v>
      </c>
      <c r="P14" s="1">
        <f>IFERROR(__xludf.DUMMYFUNCTION("""COMPUTED_VALUE"""),714.0)</f>
        <v>714</v>
      </c>
      <c r="Q14" s="1" t="str">
        <f>IFERROR(__xludf.DUMMYFUNCTION("""COMPUTED_VALUE"""),"Особенности крупных стран Азии")</f>
        <v>Особенности крупных стран Азии</v>
      </c>
      <c r="R14" s="1">
        <f>IFERROR(__xludf.DUMMYFUNCTION("""COMPUTED_VALUE"""),813.0)</f>
        <v>813</v>
      </c>
      <c r="S14" s="1" t="str">
        <f>IFERROR(__xludf.DUMMYFUNCTION("""COMPUTED_VALUE"""),"Сухопутные границы России")</f>
        <v>Сухопутные границы России</v>
      </c>
      <c r="T14" s="1">
        <f>IFERROR(__xludf.DUMMYFUNCTION("""COMPUTED_VALUE"""),916.0)</f>
        <v>916</v>
      </c>
      <c r="U14" s="1" t="str">
        <f>IFERROR(__xludf.DUMMYFUNCTION("""COMPUTED_VALUE"""),"Субарктический климатический пояс (Россия)")</f>
        <v>Субарктический климатический пояс (Россия)</v>
      </c>
      <c r="V14" s="1">
        <f>IFERROR(__xludf.DUMMYFUNCTION("""COMPUTED_VALUE"""),1013.0)</f>
        <v>1013</v>
      </c>
      <c r="W14" s="1" t="str">
        <f>IFERROR(__xludf.DUMMYFUNCTION("""COMPUTED_VALUE"""),"Городское и сельское население")</f>
        <v>Городское и сельское население</v>
      </c>
      <c r="X14" s="1">
        <f>IFERROR(__xludf.DUMMYFUNCTION("""COMPUTED_VALUE"""),1113.0)</f>
        <v>1113</v>
      </c>
      <c r="Y14" s="1" t="str">
        <f>IFERROR(__xludf.DUMMYFUNCTION("""COMPUTED_VALUE"""),"Навык применения приборов  географического исследования")</f>
        <v>Навык применения приборов  географического исследования</v>
      </c>
      <c r="Z14" s="1">
        <f>IFERROR(__xludf.DUMMYFUNCTION("""COMPUTED_VALUE"""),1213.0)</f>
        <v>1213</v>
      </c>
    </row>
    <row r="15">
      <c r="A15" s="1" t="str">
        <f>IFERROR(__xludf.DUMMYFUNCTION("""COMPUTED_VALUE"""),"Определение азимута по топографической карте и плану местности")</f>
        <v>Определение азимута по топографической карте и плану местности</v>
      </c>
      <c r="B15" s="1">
        <f>IFERROR(__xludf.DUMMYFUNCTION("""COMPUTED_VALUE"""),14.0)</f>
        <v>14</v>
      </c>
      <c r="C15" s="1" t="str">
        <f>IFERROR(__xludf.DUMMYFUNCTION("""COMPUTED_VALUE"""),"Роберт Эдвин Пири")</f>
        <v>Роберт Эдвин Пири</v>
      </c>
      <c r="D15" s="1">
        <f>IFERROR(__xludf.DUMMYFUNCTION("""COMPUTED_VALUE"""),114.0)</f>
        <v>114</v>
      </c>
      <c r="E15" s="1" t="str">
        <f>IFERROR(__xludf.DUMMYFUNCTION("""COMPUTED_VALUE"""),"Полярные круги")</f>
        <v>Полярные круги</v>
      </c>
      <c r="F15" s="1">
        <f>IFERROR(__xludf.DUMMYFUNCTION("""COMPUTED_VALUE"""),215.0)</f>
        <v>215</v>
      </c>
      <c r="G15" s="1" t="str">
        <f>IFERROR(__xludf.DUMMYFUNCTION("""COMPUTED_VALUE"""),"Литосфера")</f>
        <v>Литосфера</v>
      </c>
      <c r="H15" s="1">
        <f>IFERROR(__xludf.DUMMYFUNCTION("""COMPUTED_VALUE"""),314.0)</f>
        <v>314</v>
      </c>
      <c r="I15" s="1" t="str">
        <f>IFERROR(__xludf.DUMMYFUNCTION("""COMPUTED_VALUE"""),"Ветры и их виды")</f>
        <v>Ветры и их виды</v>
      </c>
      <c r="J15" s="1">
        <f>IFERROR(__xludf.DUMMYFUNCTION("""COMPUTED_VALUE"""),414.0)</f>
        <v>414</v>
      </c>
      <c r="K15" s="1" t="str">
        <f>IFERROR(__xludf.DUMMYFUNCTION("""COMPUTED_VALUE"""),"Подземные воды")</f>
        <v>Подземные воды</v>
      </c>
      <c r="L15" s="1">
        <f>IFERROR(__xludf.DUMMYFUNCTION("""COMPUTED_VALUE"""),514.0)</f>
        <v>514</v>
      </c>
      <c r="M15" s="1" t="str">
        <f>IFERROR(__xludf.DUMMYFUNCTION("""COMPUTED_VALUE"""),"Широтная зональность")</f>
        <v>Широтная зональность</v>
      </c>
      <c r="N15" s="1">
        <f>IFERROR(__xludf.DUMMYFUNCTION("""COMPUTED_VALUE"""),614.0)</f>
        <v>614</v>
      </c>
      <c r="O15" s="1" t="str">
        <f>IFERROR(__xludf.DUMMYFUNCTION("""COMPUTED_VALUE"""),"Факторы, влияющие на плотность населения")</f>
        <v>Факторы, влияющие на плотность населения</v>
      </c>
      <c r="P15" s="1">
        <f>IFERROR(__xludf.DUMMYFUNCTION("""COMPUTED_VALUE"""),715.0)</f>
        <v>715</v>
      </c>
      <c r="Q15" s="1" t="str">
        <f>IFERROR(__xludf.DUMMYFUNCTION("""COMPUTED_VALUE"""),"Характерные черты природы Антарктиды")</f>
        <v>Характерные черты природы Антарктиды</v>
      </c>
      <c r="R15" s="1">
        <f>IFERROR(__xludf.DUMMYFUNCTION("""COMPUTED_VALUE"""),814.0)</f>
        <v>814</v>
      </c>
      <c r="S15" s="1" t="str">
        <f>IFERROR(__xludf.DUMMYFUNCTION("""COMPUTED_VALUE"""),"Морские границы России")</f>
        <v>Морские границы России</v>
      </c>
      <c r="T15" s="1">
        <f>IFERROR(__xludf.DUMMYFUNCTION("""COMPUTED_VALUE"""),917.0)</f>
        <v>917</v>
      </c>
      <c r="U15" s="1" t="str">
        <f>IFERROR(__xludf.DUMMYFUNCTION("""COMPUTED_VALUE"""),"Умеренный климатический пояс (Россия)")</f>
        <v>Умеренный климатический пояс (Россия)</v>
      </c>
      <c r="V15" s="1">
        <f>IFERROR(__xludf.DUMMYFUNCTION("""COMPUTED_VALUE"""),1014.0)</f>
        <v>1014</v>
      </c>
      <c r="W15" s="1" t="str">
        <f>IFERROR(__xludf.DUMMYFUNCTION("""COMPUTED_VALUE"""),"Города-миллионеры")</f>
        <v>Города-миллионеры</v>
      </c>
      <c r="X15" s="1">
        <f>IFERROR(__xludf.DUMMYFUNCTION("""COMPUTED_VALUE"""),1114.0)</f>
        <v>1114</v>
      </c>
      <c r="Y15" s="1" t="str">
        <f>IFERROR(__xludf.DUMMYFUNCTION("""COMPUTED_VALUE"""),"Навык выбора инструментов необходимого географического исследования")</f>
        <v>Навык выбора инструментов необходимого географического исследования</v>
      </c>
      <c r="Z15" s="1">
        <f>IFERROR(__xludf.DUMMYFUNCTION("""COMPUTED_VALUE"""),1214.0)</f>
        <v>1214</v>
      </c>
    </row>
    <row r="16">
      <c r="A16" s="1" t="str">
        <f>IFERROR(__xludf.DUMMYFUNCTION("""COMPUTED_VALUE"""),"Профиль местности")</f>
        <v>Профиль местности</v>
      </c>
      <c r="B16" s="1">
        <f>IFERROR(__xludf.DUMMYFUNCTION("""COMPUTED_VALUE"""),15.0)</f>
        <v>15</v>
      </c>
      <c r="C16" s="1" t="str">
        <f>IFERROR(__xludf.DUMMYFUNCTION("""COMPUTED_VALUE"""),"Амундсен Руаль")</f>
        <v>Амундсен Руаль</v>
      </c>
      <c r="D16" s="1">
        <f>IFERROR(__xludf.DUMMYFUNCTION("""COMPUTED_VALUE"""),115.0)</f>
        <v>115</v>
      </c>
      <c r="E16" s="1" t="str">
        <f>IFERROR(__xludf.DUMMYFUNCTION("""COMPUTED_VALUE"""),"Тропики")</f>
        <v>Тропики</v>
      </c>
      <c r="F16" s="1">
        <f>IFERROR(__xludf.DUMMYFUNCTION("""COMPUTED_VALUE"""),216.0)</f>
        <v>216</v>
      </c>
      <c r="G16" s="1" t="str">
        <f>IFERROR(__xludf.DUMMYFUNCTION("""COMPUTED_VALUE"""),"Литосферные плиты")</f>
        <v>Литосферные плиты</v>
      </c>
      <c r="H16" s="1">
        <f>IFERROR(__xludf.DUMMYFUNCTION("""COMPUTED_VALUE"""),315.0)</f>
        <v>315</v>
      </c>
      <c r="I16" s="1" t="str">
        <f>IFERROR(__xludf.DUMMYFUNCTION("""COMPUTED_VALUE"""),"Воздушные массы и их типы")</f>
        <v>Воздушные массы и их типы</v>
      </c>
      <c r="J16" s="1">
        <f>IFERROR(__xludf.DUMMYFUNCTION("""COMPUTED_VALUE"""),415.0)</f>
        <v>415</v>
      </c>
      <c r="K16" s="1" t="str">
        <f>IFERROR(__xludf.DUMMYFUNCTION("""COMPUTED_VALUE"""),"Многолетняя мерзлота")</f>
        <v>Многолетняя мерзлота</v>
      </c>
      <c r="L16" s="1">
        <f>IFERROR(__xludf.DUMMYFUNCTION("""COMPUTED_VALUE"""),515.0)</f>
        <v>515</v>
      </c>
      <c r="M16" s="1" t="str">
        <f>IFERROR(__xludf.DUMMYFUNCTION("""COMPUTED_VALUE"""),"Высотная поясность")</f>
        <v>Высотная поясность</v>
      </c>
      <c r="N16" s="1">
        <f>IFERROR(__xludf.DUMMYFUNCTION("""COMPUTED_VALUE"""),615.0)</f>
        <v>615</v>
      </c>
      <c r="O16" s="1" t="str">
        <f>IFERROR(__xludf.DUMMYFUNCTION("""COMPUTED_VALUE"""),"Половой состав населения планеты")</f>
        <v>Половой состав населения планеты</v>
      </c>
      <c r="P16" s="1">
        <f>IFERROR(__xludf.DUMMYFUNCTION("""COMPUTED_VALUE"""),716.0)</f>
        <v>716</v>
      </c>
      <c r="Q16" s="1" t="str">
        <f>IFERROR(__xludf.DUMMYFUNCTION("""COMPUTED_VALUE"""),"Столицы крупных стран мира")</f>
        <v>Столицы крупных стран мира</v>
      </c>
      <c r="R16" s="1">
        <f>IFERROR(__xludf.DUMMYFUNCTION("""COMPUTED_VALUE"""),815.0)</f>
        <v>815</v>
      </c>
      <c r="S16" s="1" t="str">
        <f>IFERROR(__xludf.DUMMYFUNCTION("""COMPUTED_VALUE"""),"Место России среди стран мира. ")</f>
        <v>Место России среди стран мира. </v>
      </c>
      <c r="T16" s="1">
        <f>IFERROR(__xludf.DUMMYFUNCTION("""COMPUTED_VALUE"""),918.0)</f>
        <v>918</v>
      </c>
      <c r="U16" s="1" t="str">
        <f>IFERROR(__xludf.DUMMYFUNCTION("""COMPUTED_VALUE"""),"Умеренный умеренно континентальный  климат")</f>
        <v>Умеренный умеренно континентальный  климат</v>
      </c>
      <c r="V16" s="1">
        <f>IFERROR(__xludf.DUMMYFUNCTION("""COMPUTED_VALUE"""),1015.0)</f>
        <v>1015</v>
      </c>
      <c r="W16" s="1" t="str">
        <f>IFERROR(__xludf.DUMMYFUNCTION("""COMPUTED_VALUE"""),"Показатели рождаемости, смертности и естественного прироста")</f>
        <v>Показатели рождаемости, смертности и естественного прироста</v>
      </c>
      <c r="X16" s="1">
        <f>IFERROR(__xludf.DUMMYFUNCTION("""COMPUTED_VALUE"""),1115.0)</f>
        <v>1115</v>
      </c>
      <c r="Y16" s="1" t="str">
        <f>IFERROR(__xludf.DUMMYFUNCTION("""COMPUTED_VALUE"""),"Прогнозирование")</f>
        <v>Прогнозирование</v>
      </c>
      <c r="Z16" s="1">
        <f>IFERROR(__xludf.DUMMYFUNCTION("""COMPUTED_VALUE"""),1215.0)</f>
        <v>1215</v>
      </c>
    </row>
    <row r="17">
      <c r="A17" s="1" t="str">
        <f>IFERROR(__xludf.DUMMYFUNCTION("""COMPUTED_VALUE"""),"Географические прогнозы и практическое приминение географии")</f>
        <v>Географические прогнозы и практическое приминение географии</v>
      </c>
      <c r="B17" s="1">
        <f>IFERROR(__xludf.DUMMYFUNCTION("""COMPUTED_VALUE"""),16.0)</f>
        <v>16</v>
      </c>
      <c r="C17" s="1" t="str">
        <f>IFERROR(__xludf.DUMMYFUNCTION("""COMPUTED_VALUE"""),"Гумбольдт Александр Фридрих Вильгельм")</f>
        <v>Гумбольдт Александр Фридрих Вильгельм</v>
      </c>
      <c r="D17" s="1">
        <f>IFERROR(__xludf.DUMMYFUNCTION("""COMPUTED_VALUE"""),116.0)</f>
        <v>116</v>
      </c>
      <c r="E17" s="1" t="str">
        <f>IFERROR(__xludf.DUMMYFUNCTION("""COMPUTED_VALUE"""),"Экватор")</f>
        <v>Экватор</v>
      </c>
      <c r="F17" s="1">
        <f>IFERROR(__xludf.DUMMYFUNCTION("""COMPUTED_VALUE"""),217.0)</f>
        <v>217</v>
      </c>
      <c r="G17" s="1" t="str">
        <f>IFERROR(__xludf.DUMMYFUNCTION("""COMPUTED_VALUE"""),"Виды взаимодействия литосферных плит")</f>
        <v>Виды взаимодействия литосферных плит</v>
      </c>
      <c r="H17" s="1">
        <f>IFERROR(__xludf.DUMMYFUNCTION("""COMPUTED_VALUE"""),316.0)</f>
        <v>316</v>
      </c>
      <c r="I17" s="1" t="str">
        <f>IFERROR(__xludf.DUMMYFUNCTION("""COMPUTED_VALUE"""),"Ветры постоянные")</f>
        <v>Ветры постоянные</v>
      </c>
      <c r="J17" s="1">
        <f>IFERROR(__xludf.DUMMYFUNCTION("""COMPUTED_VALUE"""),416.0)</f>
        <v>416</v>
      </c>
      <c r="K17" s="1" t="str">
        <f>IFERROR(__xludf.DUMMYFUNCTION("""COMPUTED_VALUE"""),"Круговорот воды")</f>
        <v>Круговорот воды</v>
      </c>
      <c r="L17" s="1">
        <f>IFERROR(__xludf.DUMMYFUNCTION("""COMPUTED_VALUE"""),516.0)</f>
        <v>516</v>
      </c>
      <c r="M17" s="1" t="str">
        <f>IFERROR(__xludf.DUMMYFUNCTION("""COMPUTED_VALUE"""),"Цикличность и ритмичность процессов")</f>
        <v>Цикличность и ритмичность процессов</v>
      </c>
      <c r="N17" s="1">
        <f>IFERROR(__xludf.DUMMYFUNCTION("""COMPUTED_VALUE"""),616.0)</f>
        <v>616</v>
      </c>
      <c r="O17" s="1" t="str">
        <f>IFERROR(__xludf.DUMMYFUNCTION("""COMPUTED_VALUE"""),"Возрастной состав населения планеты")</f>
        <v>Возрастной состав населения планеты</v>
      </c>
      <c r="P17" s="1">
        <f>IFERROR(__xludf.DUMMYFUNCTION("""COMPUTED_VALUE"""),717.0)</f>
        <v>717</v>
      </c>
      <c r="Q17" s="1"/>
      <c r="R17" s="1"/>
      <c r="S17" s="1" t="str">
        <f>IFERROR(__xludf.DUMMYFUNCTION("""COMPUTED_VALUE"""),"География государств нового зарубежья. Россия и страны СНГ")</f>
        <v>География государств нового зарубежья. Россия и страны СНГ</v>
      </c>
      <c r="T17" s="1">
        <f>IFERROR(__xludf.DUMMYFUNCTION("""COMPUTED_VALUE"""),919.0)</f>
        <v>919</v>
      </c>
      <c r="U17" s="1" t="str">
        <f>IFERROR(__xludf.DUMMYFUNCTION("""COMPUTED_VALUE"""),"Умеренный континентальный  климат")</f>
        <v>Умеренный континентальный  климат</v>
      </c>
      <c r="V17" s="1">
        <f>IFERROR(__xludf.DUMMYFUNCTION("""COMPUTED_VALUE"""),1016.0)</f>
        <v>1016</v>
      </c>
      <c r="W17" s="1" t="str">
        <f>IFERROR(__xludf.DUMMYFUNCTION("""COMPUTED_VALUE"""),"Средняя ожидаемая продолжительность жизни в России")</f>
        <v>Средняя ожидаемая продолжительность жизни в России</v>
      </c>
      <c r="X17" s="1">
        <f>IFERROR(__xludf.DUMMYFUNCTION("""COMPUTED_VALUE"""),1116.0)</f>
        <v>1116</v>
      </c>
      <c r="Y17" s="1" t="str">
        <f>IFERROR(__xludf.DUMMYFUNCTION("""COMPUTED_VALUE"""),"Метод: Изображение холма с помощью горизонталей")</f>
        <v>Метод: Изображение холма с помощью горизонталей</v>
      </c>
      <c r="Z17" s="1">
        <f>IFERROR(__xludf.DUMMYFUNCTION("""COMPUTED_VALUE"""),1216.0)</f>
        <v>1216</v>
      </c>
    </row>
    <row r="18">
      <c r="A18" s="1" t="str">
        <f>IFERROR(__xludf.DUMMYFUNCTION("""COMPUTED_VALUE"""),"Построение профиля по линии на топографической карте")</f>
        <v>Построение профиля по линии на топографической карте</v>
      </c>
      <c r="B18" s="1">
        <f>IFERROR(__xludf.DUMMYFUNCTION("""COMPUTED_VALUE"""),17.0)</f>
        <v>17</v>
      </c>
      <c r="C18" s="1" t="str">
        <f>IFERROR(__xludf.DUMMYFUNCTION("""COMPUTED_VALUE"""),"Семёнов-Тян-Шанский Петр Петрович")</f>
        <v>Семёнов-Тян-Шанский Петр Петрович</v>
      </c>
      <c r="D18" s="1">
        <f>IFERROR(__xludf.DUMMYFUNCTION("""COMPUTED_VALUE"""),117.0)</f>
        <v>117</v>
      </c>
      <c r="E18" s="1" t="str">
        <f>IFERROR(__xludf.DUMMYFUNCTION("""COMPUTED_VALUE"""),"Зенитальное положение Солнца")</f>
        <v>Зенитальное положение Солнца</v>
      </c>
      <c r="F18" s="1">
        <f>IFERROR(__xludf.DUMMYFUNCTION("""COMPUTED_VALUE"""),218.0)</f>
        <v>218</v>
      </c>
      <c r="G18" s="1" t="str">
        <f>IFERROR(__xludf.DUMMYFUNCTION("""COMPUTED_VALUE"""),"Сейсмические пояса")</f>
        <v>Сейсмические пояса</v>
      </c>
      <c r="H18" s="1">
        <f>IFERROR(__xludf.DUMMYFUNCTION("""COMPUTED_VALUE"""),317.0)</f>
        <v>317</v>
      </c>
      <c r="I18" s="1" t="str">
        <f>IFERROR(__xludf.DUMMYFUNCTION("""COMPUTED_VALUE"""),"Ветры переменные")</f>
        <v>Ветры переменные</v>
      </c>
      <c r="J18" s="1">
        <f>IFERROR(__xludf.DUMMYFUNCTION("""COMPUTED_VALUE"""),417.0)</f>
        <v>417</v>
      </c>
      <c r="K18" s="1" t="str">
        <f>IFERROR(__xludf.DUMMYFUNCTION("""COMPUTED_VALUE"""),"Приливы и отливы")</f>
        <v>Приливы и отливы</v>
      </c>
      <c r="L18" s="1">
        <f>IFERROR(__xludf.DUMMYFUNCTION("""COMPUTED_VALUE"""),517.0)</f>
        <v>517</v>
      </c>
      <c r="M18" s="1" t="str">
        <f>IFERROR(__xludf.DUMMYFUNCTION("""COMPUTED_VALUE"""),"Классификация природных ресурсов ")</f>
        <v>Классификация природных ресурсов </v>
      </c>
      <c r="N18" s="1">
        <f>IFERROR(__xludf.DUMMYFUNCTION("""COMPUTED_VALUE"""),617.0)</f>
        <v>617</v>
      </c>
      <c r="O18" s="1" t="str">
        <f>IFERROR(__xludf.DUMMYFUNCTION("""COMPUTED_VALUE"""),"Половозрастные пирамиды")</f>
        <v>Половозрастные пирамиды</v>
      </c>
      <c r="P18" s="1">
        <f>IFERROR(__xludf.DUMMYFUNCTION("""COMPUTED_VALUE"""),718.0)</f>
        <v>718</v>
      </c>
      <c r="Q18" s="1"/>
      <c r="R18" s="1"/>
      <c r="S18" s="1" t="str">
        <f>IFERROR(__xludf.DUMMYFUNCTION("""COMPUTED_VALUE"""),"Взаимосвязи России с другими странами мира")</f>
        <v>Взаимосвязи России с другими странами мира</v>
      </c>
      <c r="T18" s="1">
        <f>IFERROR(__xludf.DUMMYFUNCTION("""COMPUTED_VALUE"""),920.0)</f>
        <v>920</v>
      </c>
      <c r="U18" s="1" t="str">
        <f>IFERROR(__xludf.DUMMYFUNCTION("""COMPUTED_VALUE"""),"Умеренный резко континентальный  климат")</f>
        <v>Умеренный резко континентальный  климат</v>
      </c>
      <c r="V18" s="1">
        <f>IFERROR(__xludf.DUMMYFUNCTION("""COMPUTED_VALUE"""),1017.0)</f>
        <v>1017</v>
      </c>
      <c r="W18" s="1" t="str">
        <f>IFERROR(__xludf.DUMMYFUNCTION("""COMPUTED_VALUE"""),"Отраслевая структура хозяйства
")</f>
        <v>Отраслевая структура хозяйства
</v>
      </c>
      <c r="X18" s="1">
        <f>IFERROR(__xludf.DUMMYFUNCTION("""COMPUTED_VALUE"""),1117.0)</f>
        <v>1117</v>
      </c>
      <c r="Y18" s="1" t="str">
        <f>IFERROR(__xludf.DUMMYFUNCTION("""COMPUTED_VALUE"""),"Нывык ориентирования на местности")</f>
        <v>Нывык ориентирования на местности</v>
      </c>
      <c r="Z18" s="1">
        <f>IFERROR(__xludf.DUMMYFUNCTION("""COMPUTED_VALUE"""),1217.0)</f>
        <v>1217</v>
      </c>
    </row>
    <row r="19">
      <c r="A19" s="1" t="str">
        <f>IFERROR(__xludf.DUMMYFUNCTION("""COMPUTED_VALUE"""),"Длина дуги меридиана в 1 градус")</f>
        <v>Длина дуги меридиана в 1 градус</v>
      </c>
      <c r="B19" s="1">
        <f>IFERROR(__xludf.DUMMYFUNCTION("""COMPUTED_VALUE"""),18.0)</f>
        <v>18</v>
      </c>
      <c r="C19" s="1" t="str">
        <f>IFERROR(__xludf.DUMMYFUNCTION("""COMPUTED_VALUE"""),"Ермак Тимофеевич")</f>
        <v>Ермак Тимофеевич</v>
      </c>
      <c r="D19" s="1">
        <f>IFERROR(__xludf.DUMMYFUNCTION("""COMPUTED_VALUE"""),118.0)</f>
        <v>118</v>
      </c>
      <c r="E19" s="1" t="str">
        <f>IFERROR(__xludf.DUMMYFUNCTION("""COMPUTED_VALUE"""),"Наклон оси вращения Земли ")</f>
        <v>Наклон оси вращения Земли </v>
      </c>
      <c r="F19" s="1">
        <f>IFERROR(__xludf.DUMMYFUNCTION("""COMPUTED_VALUE"""),219.0)</f>
        <v>219</v>
      </c>
      <c r="G19" s="1" t="str">
        <f>IFERROR(__xludf.DUMMYFUNCTION("""COMPUTED_VALUE"""),"Платформа")</f>
        <v>Платформа</v>
      </c>
      <c r="H19" s="1">
        <f>IFERROR(__xludf.DUMMYFUNCTION("""COMPUTED_VALUE"""),318.0)</f>
        <v>318</v>
      </c>
      <c r="I19" s="1" t="str">
        <f>IFERROR(__xludf.DUMMYFUNCTION("""COMPUTED_VALUE"""),"Циклоны, антициклоны")</f>
        <v>Циклоны, антициклоны</v>
      </c>
      <c r="J19" s="1">
        <f>IFERROR(__xludf.DUMMYFUNCTION("""COMPUTED_VALUE"""),418.0)</f>
        <v>418</v>
      </c>
      <c r="K19" s="1" t="str">
        <f>IFERROR(__xludf.DUMMYFUNCTION("""COMPUTED_VALUE"""),"Гидросфера и ее состав")</f>
        <v>Гидросфера и ее состав</v>
      </c>
      <c r="L19" s="1">
        <f>IFERROR(__xludf.DUMMYFUNCTION("""COMPUTED_VALUE"""),518.0)</f>
        <v>518</v>
      </c>
      <c r="M19" s="1" t="str">
        <f>IFERROR(__xludf.DUMMYFUNCTION("""COMPUTED_VALUE"""),"Ресурсообсепеченность")</f>
        <v>Ресурсообсепеченность</v>
      </c>
      <c r="N19" s="1">
        <f>IFERROR(__xludf.DUMMYFUNCTION("""COMPUTED_VALUE"""),618.0)</f>
        <v>618</v>
      </c>
      <c r="O19" s="1" t="str">
        <f>IFERROR(__xludf.DUMMYFUNCTION("""COMPUTED_VALUE"""),"Урбанизация и ее виды")</f>
        <v>Урбанизация и ее виды</v>
      </c>
      <c r="P19" s="1">
        <f>IFERROR(__xludf.DUMMYFUNCTION("""COMPUTED_VALUE"""),719.0)</f>
        <v>719</v>
      </c>
      <c r="Q19" s="1"/>
      <c r="R19" s="1"/>
      <c r="S19" s="1" t="str">
        <f>IFERROR(__xludf.DUMMYFUNCTION("""COMPUTED_VALUE"""),"Объекты мирового природного и культур-
ного наследия в России")</f>
        <v>Объекты мирового природного и культур-
ного наследия в России</v>
      </c>
      <c r="T19" s="1">
        <f>IFERROR(__xludf.DUMMYFUNCTION("""COMPUTED_VALUE"""),921.0)</f>
        <v>921</v>
      </c>
      <c r="U19" s="1" t="str">
        <f>IFERROR(__xludf.DUMMYFUNCTION("""COMPUTED_VALUE"""),"Умеренный муссоный климат")</f>
        <v>Умеренный муссоный климат</v>
      </c>
      <c r="V19" s="1">
        <f>IFERROR(__xludf.DUMMYFUNCTION("""COMPUTED_VALUE"""),1018.0)</f>
        <v>1018</v>
      </c>
      <c r="W19" s="1" t="str">
        <f>IFERROR(__xludf.DUMMYFUNCTION("""COMPUTED_VALUE"""),"Факторы размещения предприятий")</f>
        <v>Факторы размещения предприятий</v>
      </c>
      <c r="X19" s="1">
        <f>IFERROR(__xludf.DUMMYFUNCTION("""COMPUTED_VALUE"""),1118.0)</f>
        <v>1118</v>
      </c>
      <c r="Y19" s="1" t="str">
        <f>IFERROR(__xludf.DUMMYFUNCTION("""COMPUTED_VALUE"""),"Навык составление характеристики карты")</f>
        <v>Навык составление характеристики карты</v>
      </c>
      <c r="Z19" s="1">
        <f>IFERROR(__xludf.DUMMYFUNCTION("""COMPUTED_VALUE"""),1218.0)</f>
        <v>1218</v>
      </c>
    </row>
    <row r="20">
      <c r="A20" s="1" t="str">
        <f>IFERROR(__xludf.DUMMYFUNCTION("""COMPUTED_VALUE"""),"Горизонтали, изображение рельефа горизонталями")</f>
        <v>Горизонтали, изображение рельефа горизонталями</v>
      </c>
      <c r="B20" s="1">
        <f>IFERROR(__xludf.DUMMYFUNCTION("""COMPUTED_VALUE"""),19.0)</f>
        <v>19</v>
      </c>
      <c r="C20" s="1" t="str">
        <f>IFERROR(__xludf.DUMMYFUNCTION("""COMPUTED_VALUE"""),"Хабаров Ерофей Павлович")</f>
        <v>Хабаров Ерофей Павлович</v>
      </c>
      <c r="D20" s="1">
        <f>IFERROR(__xludf.DUMMYFUNCTION("""COMPUTED_VALUE"""),119.0)</f>
        <v>119</v>
      </c>
      <c r="E20" s="1" t="str">
        <f>IFERROR(__xludf.DUMMYFUNCTION("""COMPUTED_VALUE"""),"Дни равноденствия")</f>
        <v>Дни равноденствия</v>
      </c>
      <c r="F20" s="1">
        <f>IFERROR(__xludf.DUMMYFUNCTION("""COMPUTED_VALUE"""),220.0)</f>
        <v>220</v>
      </c>
      <c r="G20" s="1" t="str">
        <f>IFERROR(__xludf.DUMMYFUNCTION("""COMPUTED_VALUE"""),"Строение платформы")</f>
        <v>Строение платформы</v>
      </c>
      <c r="H20" s="1">
        <f>IFERROR(__xludf.DUMMYFUNCTION("""COMPUTED_VALUE"""),319.0)</f>
        <v>319</v>
      </c>
      <c r="I20" s="1" t="str">
        <f>IFERROR(__xludf.DUMMYFUNCTION("""COMPUTED_VALUE"""),"Атмосферные фронты ")</f>
        <v>Атмосферные фронты </v>
      </c>
      <c r="J20" s="1">
        <f>IFERROR(__xludf.DUMMYFUNCTION("""COMPUTED_VALUE"""),419.0)</f>
        <v>419</v>
      </c>
      <c r="K20" s="1" t="str">
        <f>IFERROR(__xludf.DUMMYFUNCTION("""COMPUTED_VALUE"""),"Режим годового стока реки")</f>
        <v>Режим годового стока реки</v>
      </c>
      <c r="L20" s="1">
        <f>IFERROR(__xludf.DUMMYFUNCTION("""COMPUTED_VALUE"""),519.0)</f>
        <v>519</v>
      </c>
      <c r="M20" s="1" t="str">
        <f>IFERROR(__xludf.DUMMYFUNCTION("""COMPUTED_VALUE"""),"Природопользование ")</f>
        <v>Природопользование </v>
      </c>
      <c r="N20" s="1">
        <f>IFERROR(__xludf.DUMMYFUNCTION("""COMPUTED_VALUE"""),619.0)</f>
        <v>619</v>
      </c>
      <c r="O20" s="1" t="str">
        <f>IFERROR(__xludf.DUMMYFUNCTION("""COMPUTED_VALUE"""),"Уровень урбанизации в странах разного типа")</f>
        <v>Уровень урбанизации в странах разного типа</v>
      </c>
      <c r="P20" s="1">
        <f>IFERROR(__xludf.DUMMYFUNCTION("""COMPUTED_VALUE"""),720.0)</f>
        <v>720</v>
      </c>
      <c r="Q20" s="1"/>
      <c r="R20" s="1"/>
      <c r="S20" s="1"/>
      <c r="T20" s="1"/>
      <c r="U20" s="1" t="str">
        <f>IFERROR(__xludf.DUMMYFUNCTION("""COMPUTED_VALUE"""),"Умеренный морской климат")</f>
        <v>Умеренный морской климат</v>
      </c>
      <c r="V20" s="1">
        <f>IFERROR(__xludf.DUMMYFUNCTION("""COMPUTED_VALUE"""),1019.0)</f>
        <v>1019</v>
      </c>
      <c r="W20" s="1" t="str">
        <f>IFERROR(__xludf.DUMMYFUNCTION("""COMPUTED_VALUE"""),"Природно-ресурсный потенциал России")</f>
        <v>Природно-ресурсный потенциал России</v>
      </c>
      <c r="X20" s="1">
        <f>IFERROR(__xludf.DUMMYFUNCTION("""COMPUTED_VALUE"""),1119.0)</f>
        <v>1119</v>
      </c>
      <c r="Y20" s="1" t="str">
        <f>IFERROR(__xludf.DUMMYFUNCTION("""COMPUTED_VALUE"""),"Навык измерение расстояний по карте с помощью масштаба и градусной сетки")</f>
        <v>Навык измерение расстояний по карте с помощью масштаба и градусной сетки</v>
      </c>
      <c r="Z20" s="1">
        <f>IFERROR(__xludf.DUMMYFUNCTION("""COMPUTED_VALUE"""),1219.0)</f>
        <v>1219</v>
      </c>
    </row>
    <row r="21">
      <c r="A21" s="1" t="str">
        <f>IFERROR(__xludf.DUMMYFUNCTION("""COMPUTED_VALUE"""),"Стороны горизонта")</f>
        <v>Стороны горизонта</v>
      </c>
      <c r="B21" s="1">
        <f>IFERROR(__xludf.DUMMYFUNCTION("""COMPUTED_VALUE"""),20.0)</f>
        <v>20</v>
      </c>
      <c r="C21" s="1" t="str">
        <f>IFERROR(__xludf.DUMMYFUNCTION("""COMPUTED_VALUE"""),"Лаптев Харитон Прокофьевич, Дмитрий Яковлевич Лаптев")</f>
        <v>Лаптев Харитон Прокофьевич, Дмитрий Яковлевич Лаптев</v>
      </c>
      <c r="D21" s="1">
        <f>IFERROR(__xludf.DUMMYFUNCTION("""COMPUTED_VALUE"""),120.0)</f>
        <v>120</v>
      </c>
      <c r="E21" s="1" t="str">
        <f>IFERROR(__xludf.DUMMYFUNCTION("""COMPUTED_VALUE"""),"Дни солнцестояния")</f>
        <v>Дни солнцестояния</v>
      </c>
      <c r="F21" s="1">
        <f>IFERROR(__xludf.DUMMYFUNCTION("""COMPUTED_VALUE"""),221.0)</f>
        <v>221</v>
      </c>
      <c r="G21" s="1" t="str">
        <f>IFERROR(__xludf.DUMMYFUNCTION("""COMPUTED_VALUE"""),"Складчатые пояса")</f>
        <v>Складчатые пояса</v>
      </c>
      <c r="H21" s="1">
        <f>IFERROR(__xludf.DUMMYFUNCTION("""COMPUTED_VALUE"""),320.0)</f>
        <v>320</v>
      </c>
      <c r="I21" s="1" t="str">
        <f>IFERROR(__xludf.DUMMYFUNCTION("""COMPUTED_VALUE"""),"Ветры местные")</f>
        <v>Ветры местные</v>
      </c>
      <c r="J21" s="1">
        <f>IFERROR(__xludf.DUMMYFUNCTION("""COMPUTED_VALUE"""),420.0)</f>
        <v>420</v>
      </c>
      <c r="K21" s="1" t="str">
        <f>IFERROR(__xludf.DUMMYFUNCTION("""COMPUTED_VALUE"""),"Типы питания реки")</f>
        <v>Типы питания реки</v>
      </c>
      <c r="L21" s="1">
        <f>IFERROR(__xludf.DUMMYFUNCTION("""COMPUTED_VALUE"""),520.0)</f>
        <v>520</v>
      </c>
      <c r="M21" s="1" t="str">
        <f>IFERROR(__xludf.DUMMYFUNCTION("""COMPUTED_VALUE"""),"Рациональное природопользование")</f>
        <v>Рациональное природопользование</v>
      </c>
      <c r="N21" s="1">
        <f>IFERROR(__xludf.DUMMYFUNCTION("""COMPUTED_VALUE"""),620.0)</f>
        <v>620</v>
      </c>
      <c r="O21" s="1" t="str">
        <f>IFERROR(__xludf.DUMMYFUNCTION("""COMPUTED_VALUE"""),"Городское и сельское население мира")</f>
        <v>Городское и сельское население мира</v>
      </c>
      <c r="P21" s="1">
        <f>IFERROR(__xludf.DUMMYFUNCTION("""COMPUTED_VALUE"""),721.0)</f>
        <v>721</v>
      </c>
      <c r="Q21" s="1"/>
      <c r="R21" s="1"/>
      <c r="S21" s="1"/>
      <c r="T21" s="1"/>
      <c r="U21" s="1" t="str">
        <f>IFERROR(__xludf.DUMMYFUNCTION("""COMPUTED_VALUE"""),"Циркуляция атмосферы на территории России")</f>
        <v>Циркуляция атмосферы на территории России</v>
      </c>
      <c r="V21" s="1">
        <f>IFERROR(__xludf.DUMMYFUNCTION("""COMPUTED_VALUE"""),1020.0)</f>
        <v>1020</v>
      </c>
      <c r="W21" s="1" t="str">
        <f>IFERROR(__xludf.DUMMYFUNCTION("""COMPUTED_VALUE"""),"Агроклиматические ресурсы")</f>
        <v>Агроклиматические ресурсы</v>
      </c>
      <c r="X21" s="1">
        <f>IFERROR(__xludf.DUMMYFUNCTION("""COMPUTED_VALUE"""),1120.0)</f>
        <v>1120</v>
      </c>
      <c r="Y21" s="1" t="str">
        <f>IFERROR(__xludf.DUMMYFUNCTION("""COMPUTED_VALUE"""),"Навык решения практических задач по топографическому плану")</f>
        <v>Навык решения практических задач по топографическому плану</v>
      </c>
      <c r="Z21" s="1">
        <f>IFERROR(__xludf.DUMMYFUNCTION("""COMPUTED_VALUE"""),1220.0)</f>
        <v>1220</v>
      </c>
    </row>
    <row r="22">
      <c r="A22" s="1" t="str">
        <f>IFERROR(__xludf.DUMMYFUNCTION("""COMPUTED_VALUE"""),"Определение направлений по топографической карте")</f>
        <v>Определение направлений по топографической карте</v>
      </c>
      <c r="B22" s="1">
        <f>IFERROR(__xludf.DUMMYFUNCTION("""COMPUTED_VALUE"""),21.0)</f>
        <v>21</v>
      </c>
      <c r="C22" s="1" t="str">
        <f>IFERROR(__xludf.DUMMYFUNCTION("""COMPUTED_VALUE"""),"Поярков Василий Данилович")</f>
        <v>Поярков Василий Данилович</v>
      </c>
      <c r="D22" s="1">
        <f>IFERROR(__xludf.DUMMYFUNCTION("""COMPUTED_VALUE"""),121.0)</f>
        <v>121</v>
      </c>
      <c r="E22" s="1" t="str">
        <f>IFERROR(__xludf.DUMMYFUNCTION("""COMPUTED_VALUE"""),"Тепловые пояса Земли")</f>
        <v>Тепловые пояса Земли</v>
      </c>
      <c r="F22" s="1">
        <f>IFERROR(__xludf.DUMMYFUNCTION("""COMPUTED_VALUE"""),222.0)</f>
        <v>222</v>
      </c>
      <c r="G22" s="1" t="str">
        <f>IFERROR(__xludf.DUMMYFUNCTION("""COMPUTED_VALUE"""),"Плита")</f>
        <v>Плита</v>
      </c>
      <c r="H22" s="1">
        <f>IFERROR(__xludf.DUMMYFUNCTION("""COMPUTED_VALUE"""),321.0)</f>
        <v>321</v>
      </c>
      <c r="I22" s="1" t="str">
        <f>IFERROR(__xludf.DUMMYFUNCTION("""COMPUTED_VALUE"""),"Шкала Бофорта")</f>
        <v>Шкала Бофорта</v>
      </c>
      <c r="J22" s="1">
        <f>IFERROR(__xludf.DUMMYFUNCTION("""COMPUTED_VALUE"""),421.0)</f>
        <v>421</v>
      </c>
      <c r="K22" s="1" t="str">
        <f>IFERROR(__xludf.DUMMYFUNCTION("""COMPUTED_VALUE"""),"Наводнение")</f>
        <v>Наводнение</v>
      </c>
      <c r="L22" s="1">
        <f>IFERROR(__xludf.DUMMYFUNCTION("""COMPUTED_VALUE"""),521.0)</f>
        <v>521</v>
      </c>
      <c r="M22" s="1" t="str">
        <f>IFERROR(__xludf.DUMMYFUNCTION("""COMPUTED_VALUE"""),"Нерациональное природопользование")</f>
        <v>Нерациональное природопользование</v>
      </c>
      <c r="N22" s="1">
        <f>IFERROR(__xludf.DUMMYFUNCTION("""COMPUTED_VALUE"""),621.0)</f>
        <v>621</v>
      </c>
      <c r="O22" s="1" t="str">
        <f>IFERROR(__xludf.DUMMYFUNCTION("""COMPUTED_VALUE"""),"Крупнейшие города мира")</f>
        <v>Крупнейшие города мира</v>
      </c>
      <c r="P22" s="1">
        <f>IFERROR(__xludf.DUMMYFUNCTION("""COMPUTED_VALUE"""),722.0)</f>
        <v>722</v>
      </c>
      <c r="Q22" s="1"/>
      <c r="R22" s="1"/>
      <c r="S22" s="1"/>
      <c r="T22" s="1"/>
      <c r="U22" s="1" t="str">
        <f>IFERROR(__xludf.DUMMYFUNCTION("""COMPUTED_VALUE"""),"Климатическое районирование территории России")</f>
        <v>Климатическое районирование территории России</v>
      </c>
      <c r="V22" s="1">
        <f>IFERROR(__xludf.DUMMYFUNCTION("""COMPUTED_VALUE"""),1021.0)</f>
        <v>1021</v>
      </c>
      <c r="W22" s="1" t="str">
        <f>IFERROR(__xludf.DUMMYFUNCTION("""COMPUTED_VALUE"""),"Основные ресурсные базы топливных полезных ископаемых")</f>
        <v>Основные ресурсные базы топливных полезных ископаемых</v>
      </c>
      <c r="X22" s="1">
        <f>IFERROR(__xludf.DUMMYFUNCTION("""COMPUTED_VALUE"""),1121.0)</f>
        <v>1121</v>
      </c>
      <c r="Y22" s="1" t="str">
        <f>IFERROR(__xludf.DUMMYFUNCTION("""COMPUTED_VALUE"""),"Навык описания объекта")</f>
        <v>Навык описания объекта</v>
      </c>
      <c r="Z22" s="1">
        <f>IFERROR(__xludf.DUMMYFUNCTION("""COMPUTED_VALUE"""),1221.0)</f>
        <v>1221</v>
      </c>
    </row>
    <row r="23">
      <c r="A23" s="1" t="str">
        <f>IFERROR(__xludf.DUMMYFUNCTION("""COMPUTED_VALUE"""),"Классификация энергетических ресурсов")</f>
        <v>Классификация энергетических ресурсов</v>
      </c>
      <c r="B23" s="1">
        <f>IFERROR(__xludf.DUMMYFUNCTION("""COMPUTED_VALUE"""),22.0)</f>
        <v>22</v>
      </c>
      <c r="C23" s="1" t="str">
        <f>IFERROR(__xludf.DUMMYFUNCTION("""COMPUTED_VALUE"""),"Беринг Витус Ионассен")</f>
        <v>Беринг Витус Ионассен</v>
      </c>
      <c r="D23" s="1">
        <f>IFERROR(__xludf.DUMMYFUNCTION("""COMPUTED_VALUE"""),122.0)</f>
        <v>122</v>
      </c>
      <c r="E23" s="1" t="str">
        <f>IFERROR(__xludf.DUMMYFUNCTION("""COMPUTED_VALUE"""),"Полярный день ")</f>
        <v>Полярный день </v>
      </c>
      <c r="F23" s="1">
        <f>IFERROR(__xludf.DUMMYFUNCTION("""COMPUTED_VALUE"""),223.0)</f>
        <v>223</v>
      </c>
      <c r="G23" s="1" t="str">
        <f>IFERROR(__xludf.DUMMYFUNCTION("""COMPUTED_VALUE"""),"Щит")</f>
        <v>Щит</v>
      </c>
      <c r="H23" s="1">
        <f>IFERROR(__xludf.DUMMYFUNCTION("""COMPUTED_VALUE"""),322.0)</f>
        <v>322</v>
      </c>
      <c r="I23" s="1" t="str">
        <f>IFERROR(__xludf.DUMMYFUNCTION("""COMPUTED_VALUE"""),"Атмосферные осадки")</f>
        <v>Атмосферные осадки</v>
      </c>
      <c r="J23" s="1">
        <f>IFERROR(__xludf.DUMMYFUNCTION("""COMPUTED_VALUE"""),422.0)</f>
        <v>422</v>
      </c>
      <c r="K23" s="1" t="str">
        <f>IFERROR(__xludf.DUMMYFUNCTION("""COMPUTED_VALUE"""),"Влияние рельефа на характер течения реки")</f>
        <v>Влияние рельефа на характер течения реки</v>
      </c>
      <c r="L23" s="1">
        <f>IFERROR(__xludf.DUMMYFUNCTION("""COMPUTED_VALUE"""),522.0)</f>
        <v>522</v>
      </c>
      <c r="M23" s="1" t="str">
        <f>IFERROR(__xludf.DUMMYFUNCTION("""COMPUTED_VALUE"""),"Глобальные экологические проблемы")</f>
        <v>Глобальные экологические проблемы</v>
      </c>
      <c r="N23" s="1">
        <f>IFERROR(__xludf.DUMMYFUNCTION("""COMPUTED_VALUE"""),622.0)</f>
        <v>622</v>
      </c>
      <c r="O23" s="1" t="str">
        <f>IFERROR(__xludf.DUMMYFUNCTION("""COMPUTED_VALUE"""),"Агломерация. Мегалополис")</f>
        <v>Агломерация. Мегалополис</v>
      </c>
      <c r="P23" s="1">
        <f>IFERROR(__xludf.DUMMYFUNCTION("""COMPUTED_VALUE"""),723.0)</f>
        <v>723</v>
      </c>
      <c r="Q23" s="1"/>
      <c r="R23" s="1"/>
      <c r="S23" s="1"/>
      <c r="T23" s="1"/>
      <c r="U23" s="1" t="str">
        <f>IFERROR(__xludf.DUMMYFUNCTION("""COMPUTED_VALUE"""),"Внутренние воды и водные ресурсы России")</f>
        <v>Внутренние воды и водные ресурсы России</v>
      </c>
      <c r="V23" s="1">
        <f>IFERROR(__xludf.DUMMYFUNCTION("""COMPUTED_VALUE"""),1022.0)</f>
        <v>1022</v>
      </c>
      <c r="W23" s="1" t="str">
        <f>IFERROR(__xludf.DUMMYFUNCTION("""COMPUTED_VALUE"""),"Основные ресурсные базы руд цветных металлов")</f>
        <v>Основные ресурсные базы руд цветных металлов</v>
      </c>
      <c r="X23" s="1">
        <f>IFERROR(__xludf.DUMMYFUNCTION("""COMPUTED_VALUE"""),1122.0)</f>
        <v>1122</v>
      </c>
      <c r="Y23" s="1" t="str">
        <f>IFERROR(__xludf.DUMMYFUNCTION("""COMPUTED_VALUE"""),"Навык описания явления")</f>
        <v>Навык описания явления</v>
      </c>
      <c r="Z23" s="1">
        <f>IFERROR(__xludf.DUMMYFUNCTION("""COMPUTED_VALUE"""),1222.0)</f>
        <v>1222</v>
      </c>
    </row>
    <row r="24">
      <c r="A24" s="1" t="str">
        <f>IFERROR(__xludf.DUMMYFUNCTION("""COMPUTED_VALUE"""),"Основная химия")</f>
        <v>Основная химия</v>
      </c>
      <c r="B24" s="1">
        <f>IFERROR(__xludf.DUMMYFUNCTION("""COMPUTED_VALUE"""),23.0)</f>
        <v>23</v>
      </c>
      <c r="C24" s="1" t="str">
        <f>IFERROR(__xludf.DUMMYFUNCTION("""COMPUTED_VALUE"""),"Вернадский Владимир Иванович")</f>
        <v>Вернадский Владимир Иванович</v>
      </c>
      <c r="D24" s="1">
        <f>IFERROR(__xludf.DUMMYFUNCTION("""COMPUTED_VALUE"""),123.0)</f>
        <v>123</v>
      </c>
      <c r="E24" s="1" t="str">
        <f>IFERROR(__xludf.DUMMYFUNCTION("""COMPUTED_VALUE"""),"Полярная ночь")</f>
        <v>Полярная ночь</v>
      </c>
      <c r="F24" s="1">
        <f>IFERROR(__xludf.DUMMYFUNCTION("""COMPUTED_VALUE"""),224.0)</f>
        <v>224</v>
      </c>
      <c r="G24" s="1" t="str">
        <f>IFERROR(__xludf.DUMMYFUNCTION("""COMPUTED_VALUE"""),"Кристаллический фундамент")</f>
        <v>Кристаллический фундамент</v>
      </c>
      <c r="H24" s="1">
        <f>IFERROR(__xludf.DUMMYFUNCTION("""COMPUTED_VALUE"""),323.0)</f>
        <v>323</v>
      </c>
      <c r="I24" s="1" t="str">
        <f>IFERROR(__xludf.DUMMYFUNCTION("""COMPUTED_VALUE"""),"Климат")</f>
        <v>Климат</v>
      </c>
      <c r="J24" s="1">
        <f>IFERROR(__xludf.DUMMYFUNCTION("""COMPUTED_VALUE"""),423.0)</f>
        <v>423</v>
      </c>
      <c r="K24" s="1" t="str">
        <f>IFERROR(__xludf.DUMMYFUNCTION("""COMPUTED_VALUE"""),"Объекты вод суши мира")</f>
        <v>Объекты вод суши мира</v>
      </c>
      <c r="L24" s="1">
        <f>IFERROR(__xludf.DUMMYFUNCTION("""COMPUTED_VALUE"""),523.0)</f>
        <v>523</v>
      </c>
      <c r="M24" s="1" t="str">
        <f>IFERROR(__xludf.DUMMYFUNCTION("""COMPUTED_VALUE"""),"Влияние промышленности на окружающую среду")</f>
        <v>Влияние промышленности на окружающую среду</v>
      </c>
      <c r="N24" s="1">
        <f>IFERROR(__xludf.DUMMYFUNCTION("""COMPUTED_VALUE"""),623.0)</f>
        <v>623</v>
      </c>
      <c r="O24" s="1" t="str">
        <f>IFERROR(__xludf.DUMMYFUNCTION("""COMPUTED_VALUE"""),"Средняя( ожидаемая) продолжительность жизни в странах разного типа")</f>
        <v>Средняя( ожидаемая) продолжительность жизни в странах разного типа</v>
      </c>
      <c r="P24" s="1">
        <f>IFERROR(__xludf.DUMMYFUNCTION("""COMPUTED_VALUE"""),724.0)</f>
        <v>724</v>
      </c>
      <c r="Q24" s="1"/>
      <c r="R24" s="1"/>
      <c r="S24" s="1"/>
      <c r="T24" s="1"/>
      <c r="U24" s="1" t="str">
        <f>IFERROR(__xludf.DUMMYFUNCTION("""COMPUTED_VALUE"""),"Распределение рек по бассейнам океанов")</f>
        <v>Распределение рек по бассейнам океанов</v>
      </c>
      <c r="V24" s="1">
        <f>IFERROR(__xludf.DUMMYFUNCTION("""COMPUTED_VALUE"""),1023.0)</f>
        <v>1023</v>
      </c>
      <c r="W24" s="1" t="str">
        <f>IFERROR(__xludf.DUMMYFUNCTION("""COMPUTED_VALUE"""),"Основные ресурсные базы руд черных металлов")</f>
        <v>Основные ресурсные базы руд черных металлов</v>
      </c>
      <c r="X24" s="1">
        <f>IFERROR(__xludf.DUMMYFUNCTION("""COMPUTED_VALUE"""),1123.0)</f>
        <v>1123</v>
      </c>
      <c r="Y24" s="1" t="str">
        <f>IFERROR(__xludf.DUMMYFUNCTION("""COMPUTED_VALUE"""),"Навык описания процесса")</f>
        <v>Навык описания процесса</v>
      </c>
      <c r="Z24" s="1">
        <f>IFERROR(__xludf.DUMMYFUNCTION("""COMPUTED_VALUE"""),1223.0)</f>
        <v>1223</v>
      </c>
    </row>
    <row r="25">
      <c r="A25" s="1" t="str">
        <f>IFERROR(__xludf.DUMMYFUNCTION("""COMPUTED_VALUE"""),"Химия органического синтеза")</f>
        <v>Химия органического синтеза</v>
      </c>
      <c r="B25" s="1">
        <f>IFERROR(__xludf.DUMMYFUNCTION("""COMPUTED_VALUE"""),24.0)</f>
        <v>24</v>
      </c>
      <c r="C25" s="1" t="str">
        <f>IFERROR(__xludf.DUMMYFUNCTION("""COMPUTED_VALUE"""),"Обручев Владимир Афанасьевич")</f>
        <v>Обручев Владимир Афанасьевич</v>
      </c>
      <c r="D25" s="1">
        <f>IFERROR(__xludf.DUMMYFUNCTION("""COMPUTED_VALUE"""),124.0)</f>
        <v>124</v>
      </c>
      <c r="E25" s="1" t="str">
        <f>IFERROR(__xludf.DUMMYFUNCTION("""COMPUTED_VALUE"""),"Возникновение планеты")</f>
        <v>Возникновение планеты</v>
      </c>
      <c r="F25" s="1">
        <f>IFERROR(__xludf.DUMMYFUNCTION("""COMPUTED_VALUE"""),225.0)</f>
        <v>225</v>
      </c>
      <c r="G25" s="1" t="str">
        <f>IFERROR(__xludf.DUMMYFUNCTION("""COMPUTED_VALUE"""),"Краевой пргиб")</f>
        <v>Краевой пргиб</v>
      </c>
      <c r="H25" s="1">
        <f>IFERROR(__xludf.DUMMYFUNCTION("""COMPUTED_VALUE"""),324.0)</f>
        <v>324</v>
      </c>
      <c r="I25" s="1" t="str">
        <f>IFERROR(__xludf.DUMMYFUNCTION("""COMPUTED_VALUE"""),"Климатообразующие факторы: рельеф, близость океана, течения, подстилающая поверхность")</f>
        <v>Климатообразующие факторы: рельеф, близость океана, течения, подстилающая поверхность</v>
      </c>
      <c r="J25" s="1">
        <f>IFERROR(__xludf.DUMMYFUNCTION("""COMPUTED_VALUE"""),424.0)</f>
        <v>424</v>
      </c>
      <c r="K25" s="1" t="str">
        <f>IFERROR(__xludf.DUMMYFUNCTION("""COMPUTED_VALUE"""),"Ветровые волны")</f>
        <v>Ветровые волны</v>
      </c>
      <c r="L25" s="1">
        <f>IFERROR(__xludf.DUMMYFUNCTION("""COMPUTED_VALUE"""),524.0)</f>
        <v>524</v>
      </c>
      <c r="M25" s="1" t="str">
        <f>IFERROR(__xludf.DUMMYFUNCTION("""COMPUTED_VALUE"""),"Влияние сельского хозяйства на окружающую среду")</f>
        <v>Влияние сельского хозяйства на окружающую среду</v>
      </c>
      <c r="N25" s="1">
        <f>IFERROR(__xludf.DUMMYFUNCTION("""COMPUTED_VALUE"""),624.0)</f>
        <v>624</v>
      </c>
      <c r="O25" s="1" t="str">
        <f>IFERROR(__xludf.DUMMYFUNCTION("""COMPUTED_VALUE"""),"ИЧР в странах разного типа")</f>
        <v>ИЧР в странах разного типа</v>
      </c>
      <c r="P25" s="1">
        <f>IFERROR(__xludf.DUMMYFUNCTION("""COMPUTED_VALUE"""),725.0)</f>
        <v>725</v>
      </c>
      <c r="Q25" s="1"/>
      <c r="R25" s="1"/>
      <c r="S25" s="1"/>
      <c r="T25" s="1"/>
      <c r="U25" s="1" t="str">
        <f>IFERROR(__xludf.DUMMYFUNCTION("""COMPUTED_VALUE"""),". Главные речные системы России")</f>
        <v>. Главные речные системы России</v>
      </c>
      <c r="V25" s="1">
        <f>IFERROR(__xludf.DUMMYFUNCTION("""COMPUTED_VALUE"""),1024.0)</f>
        <v>1024</v>
      </c>
      <c r="W25" s="1" t="str">
        <f>IFERROR(__xludf.DUMMYFUNCTION("""COMPUTED_VALUE"""),"География сельского хозяйства России")</f>
        <v>География сельского хозяйства России</v>
      </c>
      <c r="X25" s="1">
        <f>IFERROR(__xludf.DUMMYFUNCTION("""COMPUTED_VALUE"""),1125.0)</f>
        <v>1125</v>
      </c>
      <c r="Y25" s="1" t="str">
        <f>IFERROR(__xludf.DUMMYFUNCTION("""COMPUTED_VALUE"""),"Навык чтения  космических и аэрофотоснимков")</f>
        <v>Навык чтения  космических и аэрофотоснимков</v>
      </c>
      <c r="Z25" s="1">
        <f>IFERROR(__xludf.DUMMYFUNCTION("""COMPUTED_VALUE"""),1224.0)</f>
        <v>1224</v>
      </c>
    </row>
    <row r="26">
      <c r="A26" s="1" t="str">
        <f>IFERROR(__xludf.DUMMYFUNCTION("""COMPUTED_VALUE"""),"Горная химия")</f>
        <v>Горная химия</v>
      </c>
      <c r="B26" s="1">
        <f>IFERROR(__xludf.DUMMYFUNCTION("""COMPUTED_VALUE"""),25.0)</f>
        <v>25</v>
      </c>
      <c r="C26" s="1" t="str">
        <f>IFERROR(__xludf.DUMMYFUNCTION("""COMPUTED_VALUE"""),"Докучаев Василий Васильевич")</f>
        <v>Докучаев Василий Васильевич</v>
      </c>
      <c r="D26" s="1">
        <f>IFERROR(__xludf.DUMMYFUNCTION("""COMPUTED_VALUE"""),125.0)</f>
        <v>125</v>
      </c>
      <c r="E26" s="1"/>
      <c r="F26" s="1"/>
      <c r="G26" s="1" t="str">
        <f>IFERROR(__xludf.DUMMYFUNCTION("""COMPUTED_VALUE"""),"Внутренние процессы Земли")</f>
        <v>Внутренние процессы Земли</v>
      </c>
      <c r="H26" s="1">
        <f>IFERROR(__xludf.DUMMYFUNCTION("""COMPUTED_VALUE"""),325.0)</f>
        <v>325</v>
      </c>
      <c r="I26" s="1" t="str">
        <f>IFERROR(__xludf.DUMMYFUNCTION("""COMPUTED_VALUE"""),"Погода")</f>
        <v>Погода</v>
      </c>
      <c r="J26" s="1">
        <f>IFERROR(__xludf.DUMMYFUNCTION("""COMPUTED_VALUE"""),425.0)</f>
        <v>425</v>
      </c>
      <c r="K26" s="1" t="str">
        <f>IFERROR(__xludf.DUMMYFUNCTION("""COMPUTED_VALUE"""),"Моря внутренние и окраинные")</f>
        <v>Моря внутренние и окраинные</v>
      </c>
      <c r="L26" s="1">
        <f>IFERROR(__xludf.DUMMYFUNCTION("""COMPUTED_VALUE"""),526.0)</f>
        <v>526</v>
      </c>
      <c r="M26" s="1" t="str">
        <f>IFERROR(__xludf.DUMMYFUNCTION("""COMPUTED_VALUE"""),"Альтернативная энергетика")</f>
        <v>Альтернативная энергетика</v>
      </c>
      <c r="N26" s="1">
        <f>IFERROR(__xludf.DUMMYFUNCTION("""COMPUTED_VALUE"""),625.0)</f>
        <v>625</v>
      </c>
      <c r="O26" s="1" t="str">
        <f>IFERROR(__xludf.DUMMYFUNCTION("""COMPUTED_VALUE"""),"Структура занятости населения в странах разного типа")</f>
        <v>Структура занятости населения в странах разного типа</v>
      </c>
      <c r="P26" s="1">
        <f>IFERROR(__xludf.DUMMYFUNCTION("""COMPUTED_VALUE"""),726.0)</f>
        <v>726</v>
      </c>
      <c r="Q26" s="1"/>
      <c r="R26" s="1"/>
      <c r="S26" s="1"/>
      <c r="T26" s="1"/>
      <c r="U26" s="1" t="str">
        <f>IFERROR(__xludf.DUMMYFUNCTION("""COMPUTED_VALUE"""),"Особенности питание рек, годового режима, характрера течения рек России")</f>
        <v>Особенности питание рек, годового режима, характрера течения рек России</v>
      </c>
      <c r="V26" s="1">
        <f>IFERROR(__xludf.DUMMYFUNCTION("""COMPUTED_VALUE"""),1025.0)</f>
        <v>1025</v>
      </c>
      <c r="W26" s="1" t="str">
        <f>IFERROR(__xludf.DUMMYFUNCTION("""COMPUTED_VALUE"""),"География сельского хозяйства России: растениеводтсво")</f>
        <v>География сельского хозяйства России: растениеводтсво</v>
      </c>
      <c r="X26" s="1">
        <f>IFERROR(__xludf.DUMMYFUNCTION("""COMPUTED_VALUE"""),1126.0)</f>
        <v>1126</v>
      </c>
      <c r="Y26" s="1" t="str">
        <f>IFERROR(__xludf.DUMMYFUNCTION("""COMPUTED_VALUE""")," Навык чтения, сравнения и сопоставления карт, статистических материалов ")</f>
        <v> Навык чтения, сравнения и сопоставления карт, статистических материалов </v>
      </c>
      <c r="Z26" s="1">
        <f>IFERROR(__xludf.DUMMYFUNCTION("""COMPUTED_VALUE"""),1225.0)</f>
        <v>1225</v>
      </c>
    </row>
    <row r="27">
      <c r="A27" s="1" t="str">
        <f>IFERROR(__xludf.DUMMYFUNCTION("""COMPUTED_VALUE"""),"Особо охраняемые природные территории")</f>
        <v>Особо охраняемые природные территории</v>
      </c>
      <c r="B27" s="1">
        <f>IFERROR(__xludf.DUMMYFUNCTION("""COMPUTED_VALUE"""),26.0)</f>
        <v>26</v>
      </c>
      <c r="C27" s="1" t="str">
        <f>IFERROR(__xludf.DUMMYFUNCTION("""COMPUTED_VALUE"""),"Ферсман Александр Евгеньевич")</f>
        <v>Ферсман Александр Евгеньевич</v>
      </c>
      <c r="D27" s="1">
        <f>IFERROR(__xludf.DUMMYFUNCTION("""COMPUTED_VALUE"""),126.0)</f>
        <v>126</v>
      </c>
      <c r="E27" s="1"/>
      <c r="F27" s="1"/>
      <c r="G27" s="1" t="str">
        <f>IFERROR(__xludf.DUMMYFUNCTION("""COMPUTED_VALUE"""),"Тектонические движения")</f>
        <v>Тектонические движения</v>
      </c>
      <c r="H27" s="1">
        <f>IFERROR(__xludf.DUMMYFUNCTION("""COMPUTED_VALUE"""),326.0)</f>
        <v>326</v>
      </c>
      <c r="I27" s="1" t="str">
        <f>IFERROR(__xludf.DUMMYFUNCTION("""COMPUTED_VALUE"""),"Амплитуда температур")</f>
        <v>Амплитуда температур</v>
      </c>
      <c r="J27" s="1">
        <f>IFERROR(__xludf.DUMMYFUNCTION("""COMPUTED_VALUE"""),426.0)</f>
        <v>426</v>
      </c>
      <c r="K27" s="1"/>
      <c r="L27" s="1"/>
      <c r="M27" s="1" t="str">
        <f>IFERROR(__xludf.DUMMYFUNCTION("""COMPUTED_VALUE"""),"Опасные природные явления")</f>
        <v>Опасные природные явления</v>
      </c>
      <c r="N27" s="1">
        <f>IFERROR(__xludf.DUMMYFUNCTION("""COMPUTED_VALUE"""),626.0)</f>
        <v>626</v>
      </c>
      <c r="O27" s="1" t="str">
        <f>IFERROR(__xludf.DUMMYFUNCTION("""COMPUTED_VALUE"""),"Уровень грамотности населения в странах разного типа")</f>
        <v>Уровень грамотности населения в странах разного типа</v>
      </c>
      <c r="P27" s="1">
        <f>IFERROR(__xludf.DUMMYFUNCTION("""COMPUTED_VALUE"""),727.0)</f>
        <v>727</v>
      </c>
      <c r="Q27" s="1"/>
      <c r="R27" s="1"/>
      <c r="S27" s="1"/>
      <c r="T27" s="1"/>
      <c r="U27" s="1" t="str">
        <f>IFERROR(__xludf.DUMMYFUNCTION("""COMPUTED_VALUE"""),"Озера России и их типы")</f>
        <v>Озера России и их типы</v>
      </c>
      <c r="V27" s="1">
        <f>IFERROR(__xludf.DUMMYFUNCTION("""COMPUTED_VALUE"""),1026.0)</f>
        <v>1026</v>
      </c>
      <c r="W27" s="1" t="str">
        <f>IFERROR(__xludf.DUMMYFUNCTION("""COMPUTED_VALUE"""),"География сельского хозяйства России: животноводство")</f>
        <v>География сельского хозяйства России: животноводство</v>
      </c>
      <c r="X27" s="1">
        <f>IFERROR(__xludf.DUMMYFUNCTION("""COMPUTED_VALUE"""),1127.0)</f>
        <v>1127</v>
      </c>
      <c r="Y27" s="1" t="str">
        <f>IFERROR(__xludf.DUMMYFUNCTION("""COMPUTED_VALUE"""),"Навык работы с геоинформационными системами")</f>
        <v>Навык работы с геоинформационными системами</v>
      </c>
      <c r="Z27" s="1">
        <f>IFERROR(__xludf.DUMMYFUNCTION("""COMPUTED_VALUE"""),1226.0)</f>
        <v>1226</v>
      </c>
    </row>
    <row r="28">
      <c r="A28" s="1"/>
      <c r="B28" s="1"/>
      <c r="C28" s="1" t="str">
        <f>IFERROR(__xludf.DUMMYFUNCTION("""COMPUTED_VALUE"""),"Баренц Виллем")</f>
        <v>Баренц Виллем</v>
      </c>
      <c r="D28" s="1">
        <f>IFERROR(__xludf.DUMMYFUNCTION("""COMPUTED_VALUE"""),127.0)</f>
        <v>127</v>
      </c>
      <c r="E28" s="1"/>
      <c r="F28" s="1"/>
      <c r="G28" s="1" t="str">
        <f>IFERROR(__xludf.DUMMYFUNCTION("""COMPUTED_VALUE"""),"Землетрясения")</f>
        <v>Землетрясения</v>
      </c>
      <c r="H28" s="1">
        <f>IFERROR(__xludf.DUMMYFUNCTION("""COMPUTED_VALUE"""),327.0)</f>
        <v>327</v>
      </c>
      <c r="I28" s="1" t="str">
        <f>IFERROR(__xludf.DUMMYFUNCTION("""COMPUTED_VALUE"""),"Распределение влаги по поверхности Земли")</f>
        <v>Распределение влаги по поверхности Земли</v>
      </c>
      <c r="J28" s="1">
        <f>IFERROR(__xludf.DUMMYFUNCTION("""COMPUTED_VALUE"""),427.0)</f>
        <v>427</v>
      </c>
      <c r="K28" s="1"/>
      <c r="L28" s="1"/>
      <c r="M28" s="1" t="str">
        <f>IFERROR(__xludf.DUMMYFUNCTION("""COMPUTED_VALUE""")," «Зеленая революция»")</f>
        <v> «Зеленая революция»</v>
      </c>
      <c r="N28" s="1">
        <f>IFERROR(__xludf.DUMMYFUNCTION("""COMPUTED_VALUE"""),627.0)</f>
        <v>627</v>
      </c>
      <c r="O28" s="1" t="str">
        <f>IFERROR(__xludf.DUMMYFUNCTION("""COMPUTED_VALUE"""),"Показатель ВВП на душу населения в странах разного типа")</f>
        <v>Показатель ВВП на душу населения в странах разного типа</v>
      </c>
      <c r="P28" s="1">
        <f>IFERROR(__xludf.DUMMYFUNCTION("""COMPUTED_VALUE"""),728.0)</f>
        <v>728</v>
      </c>
      <c r="Q28" s="1"/>
      <c r="R28" s="1"/>
      <c r="S28" s="1"/>
      <c r="T28" s="1"/>
      <c r="U28" s="1" t="str">
        <f>IFERROR(__xludf.DUMMYFUNCTION("""COMPUTED_VALUE"""),"Расспространение ледников на территоррии России")</f>
        <v>Расспространение ледников на территоррии России</v>
      </c>
      <c r="V28" s="1">
        <f>IFERROR(__xludf.DUMMYFUNCTION("""COMPUTED_VALUE"""),1027.0)</f>
        <v>1027</v>
      </c>
      <c r="W28" s="1" t="str">
        <f>IFERROR(__xludf.DUMMYFUNCTION("""COMPUTED_VALUE"""),"География сельского хозяйства России: растениеводтсво - зерновые культуры")</f>
        <v>География сельского хозяйства России: растениеводтсво - зерновые культуры</v>
      </c>
      <c r="X28" s="1">
        <f>IFERROR(__xludf.DUMMYFUNCTION("""COMPUTED_VALUE"""),1128.0)</f>
        <v>1128</v>
      </c>
      <c r="Y28" s="1" t="str">
        <f>IFERROR(__xludf.DUMMYFUNCTION("""COMPUTED_VALUE"""),"Умение определять стороны горизонта по топографической карте")</f>
        <v>Умение определять стороны горизонта по топографической карте</v>
      </c>
      <c r="Z28" s="1">
        <f>IFERROR(__xludf.DUMMYFUNCTION("""COMPUTED_VALUE"""),1227.0)</f>
        <v>1227</v>
      </c>
    </row>
    <row r="29">
      <c r="A29" s="1"/>
      <c r="B29" s="1"/>
      <c r="C29" s="1" t="str">
        <f>IFERROR(__xludf.DUMMYFUNCTION("""COMPUTED_VALUE"""),"Тасман Абель Янсзон")</f>
        <v>Тасман Абель Янсзон</v>
      </c>
      <c r="D29" s="1">
        <f>IFERROR(__xludf.DUMMYFUNCTION("""COMPUTED_VALUE"""),128.0)</f>
        <v>128</v>
      </c>
      <c r="E29" s="1"/>
      <c r="F29" s="1"/>
      <c r="G29" s="1" t="str">
        <f>IFERROR(__xludf.DUMMYFUNCTION("""COMPUTED_VALUE"""),"Вулканизм")</f>
        <v>Вулканизм</v>
      </c>
      <c r="H29" s="1">
        <f>IFERROR(__xludf.DUMMYFUNCTION("""COMPUTED_VALUE"""),328.0)</f>
        <v>328</v>
      </c>
      <c r="I29" s="1" t="str">
        <f>IFERROR(__xludf.DUMMYFUNCTION("""COMPUTED_VALUE"""),"Климатические пояса: основные и переходные")</f>
        <v>Климатические пояса: основные и переходные</v>
      </c>
      <c r="J29" s="1">
        <f>IFERROR(__xludf.DUMMYFUNCTION("""COMPUTED_VALUE"""),428.0)</f>
        <v>428</v>
      </c>
      <c r="K29" s="1"/>
      <c r="L29" s="1"/>
      <c r="M29" s="1" t="str">
        <f>IFERROR(__xludf.DUMMYFUNCTION("""COMPUTED_VALUE"""),"Проблема загрязнения атмосферы")</f>
        <v>Проблема загрязнения атмосферы</v>
      </c>
      <c r="N29" s="1">
        <f>IFERROR(__xludf.DUMMYFUNCTION("""COMPUTED_VALUE"""),628.0)</f>
        <v>628</v>
      </c>
      <c r="O29" s="1" t="str">
        <f>IFERROR(__xludf.DUMMYFUNCTION("""COMPUTED_VALUE"""),"Понятие ""мировое хозяйство""")</f>
        <v>Понятие "мировое хозяйство"</v>
      </c>
      <c r="P29" s="1">
        <f>IFERROR(__xludf.DUMMYFUNCTION("""COMPUTED_VALUE"""),729.0)</f>
        <v>729</v>
      </c>
      <c r="Q29" s="1"/>
      <c r="R29" s="1"/>
      <c r="S29" s="1"/>
      <c r="T29" s="1"/>
      <c r="U29" s="1" t="str">
        <f>IFERROR(__xludf.DUMMYFUNCTION("""COMPUTED_VALUE"""),"Расспространение горных ледников на территоррии России")</f>
        <v>Расспространение горных ледников на территоррии России</v>
      </c>
      <c r="V29" s="1">
        <f>IFERROR(__xludf.DUMMYFUNCTION("""COMPUTED_VALUE"""),1028.0)</f>
        <v>1028</v>
      </c>
      <c r="W29" s="1" t="str">
        <f>IFERROR(__xludf.DUMMYFUNCTION("""COMPUTED_VALUE"""),"География сельского хозяйства России: виноградоводство и садоводство")</f>
        <v>География сельского хозяйства России: виноградоводство и садоводство</v>
      </c>
      <c r="X29" s="1">
        <f>IFERROR(__xludf.DUMMYFUNCTION("""COMPUTED_VALUE"""),1129.0)</f>
        <v>1129</v>
      </c>
      <c r="Y29" s="1"/>
      <c r="Z29" s="1"/>
    </row>
    <row r="30">
      <c r="A30" s="1"/>
      <c r="B30" s="1"/>
      <c r="C30" s="1" t="str">
        <f>IFERROR(__xludf.DUMMYFUNCTION("""COMPUTED_VALUE"""),"Крузенштерн Иван Федорович")</f>
        <v>Крузенштерн Иван Федорович</v>
      </c>
      <c r="D30" s="1">
        <f>IFERROR(__xludf.DUMMYFUNCTION("""COMPUTED_VALUE"""),129.0)</f>
        <v>129</v>
      </c>
      <c r="E30" s="1"/>
      <c r="F30" s="1"/>
      <c r="G30" s="1" t="str">
        <f>IFERROR(__xludf.DUMMYFUNCTION("""COMPUTED_VALUE"""),"Вулкан и его строение")</f>
        <v>Вулкан и его строение</v>
      </c>
      <c r="H30" s="1">
        <f>IFERROR(__xludf.DUMMYFUNCTION("""COMPUTED_VALUE"""),329.0)</f>
        <v>329</v>
      </c>
      <c r="I30" s="1" t="str">
        <f>IFERROR(__xludf.DUMMYFUNCTION("""COMPUTED_VALUE"""),"Определение типа климата по климатограмме")</f>
        <v>Определение типа климата по климатограмме</v>
      </c>
      <c r="J30" s="1">
        <f>IFERROR(__xludf.DUMMYFUNCTION("""COMPUTED_VALUE"""),429.0)</f>
        <v>429</v>
      </c>
      <c r="K30" s="1"/>
      <c r="L30" s="1"/>
      <c r="M30" s="1" t="str">
        <f>IFERROR(__xludf.DUMMYFUNCTION("""COMPUTED_VALUE"""),"Истощение озонового слоя")</f>
        <v>Истощение озонового слоя</v>
      </c>
      <c r="N30" s="1">
        <f>IFERROR(__xludf.DUMMYFUNCTION("""COMPUTED_VALUE"""),629.0)</f>
        <v>629</v>
      </c>
      <c r="O30" s="1" t="str">
        <f>IFERROR(__xludf.DUMMYFUNCTION("""COMPUTED_VALUE""")," Отраслевая структура экономики. Типы отраслевой структуры")</f>
        <v> Отраслевая структура экономики. Типы отраслевой структуры</v>
      </c>
      <c r="P30" s="1">
        <f>IFERROR(__xludf.DUMMYFUNCTION("""COMPUTED_VALUE"""),730.0)</f>
        <v>730</v>
      </c>
      <c r="Q30" s="1"/>
      <c r="R30" s="1"/>
      <c r="S30" s="1"/>
      <c r="T30" s="1"/>
      <c r="U30" s="1" t="str">
        <f>IFERROR(__xludf.DUMMYFUNCTION("""COMPUTED_VALUE"""),"Покровное оледенение на территории России")</f>
        <v>Покровное оледенение на территории России</v>
      </c>
      <c r="V30" s="1">
        <f>IFERROR(__xludf.DUMMYFUNCTION("""COMPUTED_VALUE"""),1029.0)</f>
        <v>1029</v>
      </c>
      <c r="W30" s="1" t="str">
        <f>IFERROR(__xludf.DUMMYFUNCTION("""COMPUTED_VALUE"""),"Минерально-сырьевые базы России")</f>
        <v>Минерально-сырьевые базы России</v>
      </c>
      <c r="X30" s="1">
        <f>IFERROR(__xludf.DUMMYFUNCTION("""COMPUTED_VALUE"""),1130.0)</f>
        <v>1130</v>
      </c>
      <c r="Y30" s="1"/>
      <c r="Z30" s="1"/>
    </row>
    <row r="31">
      <c r="A31" s="1"/>
      <c r="B31" s="1"/>
      <c r="C31" s="1" t="str">
        <f>IFERROR(__xludf.DUMMYFUNCTION("""COMPUTED_VALUE"""),"Челюскин Семен Иванович")</f>
        <v>Челюскин Семен Иванович</v>
      </c>
      <c r="D31" s="1">
        <f>IFERROR(__xludf.DUMMYFUNCTION("""COMPUTED_VALUE"""),130.0)</f>
        <v>130</v>
      </c>
      <c r="E31" s="1"/>
      <c r="F31" s="1"/>
      <c r="G31" s="1" t="str">
        <f>IFERROR(__xludf.DUMMYFUNCTION("""COMPUTED_VALUE"""),"Внешние силы Земли")</f>
        <v>Внешние силы Земли</v>
      </c>
      <c r="H31" s="1">
        <f>IFERROR(__xludf.DUMMYFUNCTION("""COMPUTED_VALUE"""),330.0)</f>
        <v>330</v>
      </c>
      <c r="I31" s="1" t="str">
        <f>IFERROR(__xludf.DUMMYFUNCTION("""COMPUTED_VALUE"""),"Характеристика типов климата")</f>
        <v>Характеристика типов климата</v>
      </c>
      <c r="J31" s="1">
        <f>IFERROR(__xludf.DUMMYFUNCTION("""COMPUTED_VALUE"""),430.0)</f>
        <v>430</v>
      </c>
      <c r="K31" s="1"/>
      <c r="L31" s="1"/>
      <c r="M31" s="1" t="str">
        <f>IFERROR(__xludf.DUMMYFUNCTION("""COMPUTED_VALUE"""),"Парниковые газы")</f>
        <v>Парниковые газы</v>
      </c>
      <c r="N31" s="1">
        <f>IFERROR(__xludf.DUMMYFUNCTION("""COMPUTED_VALUE"""),630.0)</f>
        <v>630</v>
      </c>
      <c r="O31" s="1" t="str">
        <f>IFERROR(__xludf.DUMMYFUNCTION("""COMPUTED_VALUE"""),"Международное разделение труда . Международная специализация крупнейших стран т регионов мира")</f>
        <v>Международное разделение труда . Международная специализация крупнейших стран т регионов мира</v>
      </c>
      <c r="P31" s="1">
        <f>IFERROR(__xludf.DUMMYFUNCTION("""COMPUTED_VALUE"""),733.0)</f>
        <v>733</v>
      </c>
      <c r="Q31" s="1"/>
      <c r="R31" s="1"/>
      <c r="S31" s="1"/>
      <c r="T31" s="1"/>
      <c r="U31" s="1" t="str">
        <f>IFERROR(__xludf.DUMMYFUNCTION("""COMPUTED_VALUE"""),"Многолетняя мерзлота на территории России")</f>
        <v>Многолетняя мерзлота на территории России</v>
      </c>
      <c r="V31" s="1">
        <f>IFERROR(__xludf.DUMMYFUNCTION("""COMPUTED_VALUE"""),1030.0)</f>
        <v>1030</v>
      </c>
      <c r="W31" s="1" t="str">
        <f>IFERROR(__xludf.DUMMYFUNCTION("""COMPUTED_VALUE"""),"Лесная и целлюлозно-бумажная промышленность, факторы размещения предприятий ")</f>
        <v>Лесная и целлюлозно-бумажная промышленность, факторы размещения предприятий </v>
      </c>
      <c r="X31" s="1">
        <f>IFERROR(__xludf.DUMMYFUNCTION("""COMPUTED_VALUE"""),1131.0)</f>
        <v>1131</v>
      </c>
      <c r="Y31" s="1"/>
      <c r="Z31" s="1"/>
    </row>
    <row r="32">
      <c r="A32" s="1"/>
      <c r="B32" s="1"/>
      <c r="C32" s="1" t="str">
        <f>IFERROR(__xludf.DUMMYFUNCTION("""COMPUTED_VALUE"""),"Васко да Гама")</f>
        <v>Васко да Гама</v>
      </c>
      <c r="D32" s="1">
        <f>IFERROR(__xludf.DUMMYFUNCTION("""COMPUTED_VALUE"""),131.0)</f>
        <v>131</v>
      </c>
      <c r="E32" s="1"/>
      <c r="F32" s="1"/>
      <c r="G32" s="1" t="str">
        <f>IFERROR(__xludf.DUMMYFUNCTION("""COMPUTED_VALUE"""),"Выветривание")</f>
        <v>Выветривание</v>
      </c>
      <c r="H32" s="1">
        <f>IFERROR(__xludf.DUMMYFUNCTION("""COMPUTED_VALUE"""),331.0)</f>
        <v>331</v>
      </c>
      <c r="I32" s="1" t="str">
        <f>IFERROR(__xludf.DUMMYFUNCTION("""COMPUTED_VALUE"""),"Климатические области")</f>
        <v>Климатические области</v>
      </c>
      <c r="J32" s="1">
        <f>IFERROR(__xludf.DUMMYFUNCTION("""COMPUTED_VALUE"""),431.0)</f>
        <v>431</v>
      </c>
      <c r="K32" s="1"/>
      <c r="L32" s="1"/>
      <c r="M32" s="1" t="str">
        <f>IFERROR(__xludf.DUMMYFUNCTION("""COMPUTED_VALUE"""),"Парниковый эффект")</f>
        <v>Парниковый эффект</v>
      </c>
      <c r="N32" s="1">
        <f>IFERROR(__xludf.DUMMYFUNCTION("""COMPUTED_VALUE"""),631.0)</f>
        <v>631</v>
      </c>
      <c r="O32" s="1" t="str">
        <f>IFERROR(__xludf.DUMMYFUNCTION("""COMPUTED_VALUE"""),"Горнодобывающая промышленность")</f>
        <v>Горнодобывающая промышленность</v>
      </c>
      <c r="P32" s="1">
        <f>IFERROR(__xludf.DUMMYFUNCTION("""COMPUTED_VALUE"""),735.0)</f>
        <v>735</v>
      </c>
      <c r="Q32" s="1"/>
      <c r="R32" s="1"/>
      <c r="S32" s="1"/>
      <c r="T32" s="1"/>
      <c r="U32" s="1" t="str">
        <f>IFERROR(__xludf.DUMMYFUNCTION("""COMPUTED_VALUE"""),"Болота и подземные воды России")</f>
        <v>Болота и подземные воды России</v>
      </c>
      <c r="V32" s="1">
        <f>IFERROR(__xludf.DUMMYFUNCTION("""COMPUTED_VALUE"""),1031.0)</f>
        <v>1031</v>
      </c>
      <c r="W32" s="1" t="str">
        <f>IFERROR(__xludf.DUMMYFUNCTION("""COMPUTED_VALUE"""),"Химическая промышленность, факторы размещения предприятий ")</f>
        <v>Химическая промышленность, факторы размещения предприятий </v>
      </c>
      <c r="X32" s="1">
        <f>IFERROR(__xludf.DUMMYFUNCTION("""COMPUTED_VALUE"""),1132.0)</f>
        <v>1132</v>
      </c>
      <c r="Y32" s="1"/>
      <c r="Z32" s="1"/>
    </row>
    <row r="33">
      <c r="A33" s="1"/>
      <c r="B33" s="1"/>
      <c r="C33" s="1" t="str">
        <f>IFERROR(__xludf.DUMMYFUNCTION("""COMPUTED_VALUE"""),"Никитин Афанасий")</f>
        <v>Никитин Афанасий</v>
      </c>
      <c r="D33" s="1">
        <f>IFERROR(__xludf.DUMMYFUNCTION("""COMPUTED_VALUE"""),132.0)</f>
        <v>132</v>
      </c>
      <c r="E33" s="1"/>
      <c r="F33" s="1"/>
      <c r="G33" s="1" t="str">
        <f>IFERROR(__xludf.DUMMYFUNCTION("""COMPUTED_VALUE"""),"Ветровая эрозия")</f>
        <v>Ветровая эрозия</v>
      </c>
      <c r="H33" s="1">
        <f>IFERROR(__xludf.DUMMYFUNCTION("""COMPUTED_VALUE"""),332.0)</f>
        <v>332</v>
      </c>
      <c r="I33" s="1" t="str">
        <f>IFERROR(__xludf.DUMMYFUNCTION("""COMPUTED_VALUE"""),"Коэффициент увлажнения")</f>
        <v>Коэффициент увлажнения</v>
      </c>
      <c r="J33" s="1">
        <f>IFERROR(__xludf.DUMMYFUNCTION("""COMPUTED_VALUE"""),432.0)</f>
        <v>432</v>
      </c>
      <c r="K33" s="1"/>
      <c r="L33" s="1"/>
      <c r="M33" s="1" t="str">
        <f>IFERROR(__xludf.DUMMYFUNCTION("""COMPUTED_VALUE"""),"Глобальное изменение климата и его последствия")</f>
        <v>Глобальное изменение климата и его последствия</v>
      </c>
      <c r="N33" s="1">
        <f>IFERROR(__xludf.DUMMYFUNCTION("""COMPUTED_VALUE"""),632.0)</f>
        <v>632</v>
      </c>
      <c r="O33" s="1" t="str">
        <f>IFERROR(__xludf.DUMMYFUNCTION("""COMPUTED_VALUE"""),"Электроэнергетика. ")</f>
        <v>Электроэнергетика. </v>
      </c>
      <c r="P33" s="1">
        <f>IFERROR(__xludf.DUMMYFUNCTION("""COMPUTED_VALUE"""),736.0)</f>
        <v>736</v>
      </c>
      <c r="Q33" s="1"/>
      <c r="R33" s="1"/>
      <c r="S33" s="1"/>
      <c r="T33" s="1"/>
      <c r="U33" s="1" t="str">
        <f>IFERROR(__xludf.DUMMYFUNCTION("""COMPUTED_VALUE"""),"Почвы и земельные ресурсы России")</f>
        <v>Почвы и земельные ресурсы России</v>
      </c>
      <c r="V33" s="1">
        <f>IFERROR(__xludf.DUMMYFUNCTION("""COMPUTED_VALUE"""),1032.0)</f>
        <v>1032</v>
      </c>
      <c r="W33" s="1" t="str">
        <f>IFERROR(__xludf.DUMMYFUNCTION("""COMPUTED_VALUE"""),"Топливно-энергетический комплекс, факторы размещения предприятий ")</f>
        <v>Топливно-энергетический комплекс, факторы размещения предприятий </v>
      </c>
      <c r="X33" s="1">
        <f>IFERROR(__xludf.DUMMYFUNCTION("""COMPUTED_VALUE"""),1133.0)</f>
        <v>1133</v>
      </c>
      <c r="Y33" s="1"/>
      <c r="Z33" s="1"/>
    </row>
    <row r="34">
      <c r="A34" s="1"/>
      <c r="B34" s="1"/>
      <c r="C34" s="1" t="str">
        <f>IFERROR(__xludf.DUMMYFUNCTION("""COMPUTED_VALUE"""),"Веспучи Америго")</f>
        <v>Веспучи Америго</v>
      </c>
      <c r="D34" s="1">
        <f>IFERROR(__xludf.DUMMYFUNCTION("""COMPUTED_VALUE"""),133.0)</f>
        <v>133</v>
      </c>
      <c r="E34" s="1"/>
      <c r="F34" s="1"/>
      <c r="G34" s="1" t="str">
        <f>IFERROR(__xludf.DUMMYFUNCTION("""COMPUTED_VALUE"""),"Водная эрозия")</f>
        <v>Водная эрозия</v>
      </c>
      <c r="H34" s="1">
        <f>IFERROR(__xludf.DUMMYFUNCTION("""COMPUTED_VALUE"""),333.0)</f>
        <v>333</v>
      </c>
      <c r="I34" s="1" t="str">
        <f>IFERROR(__xludf.DUMMYFUNCTION("""COMPUTED_VALUE"""),"Максимальные и минимальные климатические показатели на Земле")</f>
        <v>Максимальные и минимальные климатические показатели на Земле</v>
      </c>
      <c r="J34" s="1">
        <f>IFERROR(__xludf.DUMMYFUNCTION("""COMPUTED_VALUE"""),433.0)</f>
        <v>433</v>
      </c>
      <c r="K34" s="1"/>
      <c r="L34" s="1"/>
      <c r="M34" s="1" t="str">
        <f>IFERROR(__xludf.DUMMYFUNCTION("""COMPUTED_VALUE"""),"Опустынивание")</f>
        <v>Опустынивание</v>
      </c>
      <c r="N34" s="1">
        <f>IFERROR(__xludf.DUMMYFUNCTION("""COMPUTED_VALUE"""),633.0)</f>
        <v>633</v>
      </c>
      <c r="O34" s="1" t="str">
        <f>IFERROR(__xludf.DUMMYFUNCTION("""COMPUTED_VALUE"""),"Нефтяная, газовая и угольная промышленность. Страны ОПЕК — основные экспортеры нефти")</f>
        <v>Нефтяная, газовая и угольная промышленность. Страны ОПЕК — основные экспортеры нефти</v>
      </c>
      <c r="P34" s="1">
        <f>IFERROR(__xludf.DUMMYFUNCTION("""COMPUTED_VALUE"""),737.0)</f>
        <v>737</v>
      </c>
      <c r="Q34" s="1"/>
      <c r="R34" s="1"/>
      <c r="S34" s="1"/>
      <c r="T34" s="1"/>
      <c r="U34" s="1" t="str">
        <f>IFERROR(__xludf.DUMMYFUNCTION("""COMPUTED_VALUE"""),"Факторы образования почв, их основные типы, свойства, различия в плодородии")</f>
        <v>Факторы образования почв, их основные типы, свойства, различия в плодородии</v>
      </c>
      <c r="V34" s="1">
        <f>IFERROR(__xludf.DUMMYFUNCTION("""COMPUTED_VALUE"""),1033.0)</f>
        <v>1033</v>
      </c>
      <c r="W34" s="1" t="str">
        <f>IFERROR(__xludf.DUMMYFUNCTION("""COMPUTED_VALUE"""),"Нефтяная, газовая, угольная промышленность, факторы размещения предприятий ")</f>
        <v>Нефтяная, газовая, угольная промышленность, факторы размещения предприятий </v>
      </c>
      <c r="X34" s="1">
        <f>IFERROR(__xludf.DUMMYFUNCTION("""COMPUTED_VALUE"""),1134.0)</f>
        <v>1134</v>
      </c>
      <c r="Y34" s="1"/>
      <c r="Z34" s="1"/>
    </row>
    <row r="35">
      <c r="A35" s="1"/>
      <c r="B35" s="1"/>
      <c r="C35" s="1" t="str">
        <f>IFERROR(__xludf.DUMMYFUNCTION("""COMPUTED_VALUE"""),"Вавилов Николай Иванович")</f>
        <v>Вавилов Николай Иванович</v>
      </c>
      <c r="D35" s="1">
        <f>IFERROR(__xludf.DUMMYFUNCTION("""COMPUTED_VALUE"""),134.0)</f>
        <v>134</v>
      </c>
      <c r="E35" s="1"/>
      <c r="F35" s="1"/>
      <c r="G35" s="1" t="str">
        <f>IFERROR(__xludf.DUMMYFUNCTION("""COMPUTED_VALUE"""),"Работа ветра: дюны и барханы")</f>
        <v>Работа ветра: дюны и барханы</v>
      </c>
      <c r="H35" s="1">
        <f>IFERROR(__xludf.DUMMYFUNCTION("""COMPUTED_VALUE"""),334.0)</f>
        <v>334</v>
      </c>
      <c r="I35" s="1" t="str">
        <f>IFERROR(__xludf.DUMMYFUNCTION("""COMPUTED_VALUE"""),"Облака и их типы")</f>
        <v>Облака и их типы</v>
      </c>
      <c r="J35" s="1">
        <f>IFERROR(__xludf.DUMMYFUNCTION("""COMPUTED_VALUE"""),434.0)</f>
        <v>434</v>
      </c>
      <c r="K35" s="1"/>
      <c r="L35" s="1"/>
      <c r="M35" s="1" t="str">
        <f>IFERROR(__xludf.DUMMYFUNCTION("""COMPUTED_VALUE"""),"Обезлесение")</f>
        <v>Обезлесение</v>
      </c>
      <c r="N35" s="1">
        <f>IFERROR(__xludf.DUMMYFUNCTION("""COMPUTED_VALUE"""),634.0)</f>
        <v>634</v>
      </c>
      <c r="O35" s="1" t="str">
        <f>IFERROR(__xludf.DUMMYFUNCTION("""COMPUTED_VALUE"""),"Черная металлургия мира, факторы размещения")</f>
        <v>Черная металлургия мира, факторы размещения</v>
      </c>
      <c r="P35" s="1">
        <f>IFERROR(__xludf.DUMMYFUNCTION("""COMPUTED_VALUE"""),738.0)</f>
        <v>738</v>
      </c>
      <c r="Q35" s="1"/>
      <c r="R35" s="1"/>
      <c r="S35" s="1"/>
      <c r="T35" s="1"/>
      <c r="U35" s="1" t="str">
        <f>IFERROR(__xludf.DUMMYFUNCTION("""COMPUTED_VALUE"""),"Размещение основных типов почв на территории России")</f>
        <v>Размещение основных типов почв на территории России</v>
      </c>
      <c r="V35" s="1">
        <f>IFERROR(__xludf.DUMMYFUNCTION("""COMPUTED_VALUE"""),1034.0)</f>
        <v>1034</v>
      </c>
      <c r="W35" s="1" t="str">
        <f>IFERROR(__xludf.DUMMYFUNCTION("""COMPUTED_VALUE"""),"Электроэнергетика, факторы размещения предприятий ")</f>
        <v>Электроэнергетика, факторы размещения предприятий </v>
      </c>
      <c r="X35" s="1">
        <f>IFERROR(__xludf.DUMMYFUNCTION("""COMPUTED_VALUE"""),1135.0)</f>
        <v>1135</v>
      </c>
      <c r="Y35" s="1"/>
      <c r="Z35" s="1"/>
    </row>
    <row r="36">
      <c r="A36" s="1"/>
      <c r="B36" s="1"/>
      <c r="C36" s="1" t="str">
        <f>IFERROR(__xludf.DUMMYFUNCTION("""COMPUTED_VALUE"""),"Седов Георгий Яковлевич")</f>
        <v>Седов Георгий Яковлевич</v>
      </c>
      <c r="D36" s="1">
        <f>IFERROR(__xludf.DUMMYFUNCTION("""COMPUTED_VALUE"""),135.0)</f>
        <v>135</v>
      </c>
      <c r="E36" s="1"/>
      <c r="F36" s="1"/>
      <c r="G36" s="1" t="str">
        <f>IFERROR(__xludf.DUMMYFUNCTION("""COMPUTED_VALUE"""),"Работа вод: овраги, балки")</f>
        <v>Работа вод: овраги, балки</v>
      </c>
      <c r="H36" s="1">
        <f>IFERROR(__xludf.DUMMYFUNCTION("""COMPUTED_VALUE"""),335.0)</f>
        <v>335</v>
      </c>
      <c r="I36" s="1" t="str">
        <f>IFERROR(__xludf.DUMMYFUNCTION("""COMPUTED_VALUE"""),"Взаимосвязь температуры и влажности воздуха")</f>
        <v>Взаимосвязь температуры и влажности воздуха</v>
      </c>
      <c r="J36" s="1">
        <f>IFERROR(__xludf.DUMMYFUNCTION("""COMPUTED_VALUE"""),435.0)</f>
        <v>435</v>
      </c>
      <c r="K36" s="1"/>
      <c r="L36" s="1"/>
      <c r="M36" s="1" t="str">
        <f>IFERROR(__xludf.DUMMYFUNCTION("""COMPUTED_VALUE"""),"Кислотные осадки")</f>
        <v>Кислотные осадки</v>
      </c>
      <c r="N36" s="1">
        <f>IFERROR(__xludf.DUMMYFUNCTION("""COMPUTED_VALUE"""),635.0)</f>
        <v>635</v>
      </c>
      <c r="O36" s="1" t="str">
        <f>IFERROR(__xludf.DUMMYFUNCTION("""COMPUTED_VALUE"""),"Цветная металлургия мира, факторы размещения")</f>
        <v>Цветная металлургия мира, факторы размещения</v>
      </c>
      <c r="P36" s="1">
        <f>IFERROR(__xludf.DUMMYFUNCTION("""COMPUTED_VALUE"""),739.0)</f>
        <v>739</v>
      </c>
      <c r="Q36" s="1"/>
      <c r="R36" s="1"/>
      <c r="S36" s="1"/>
      <c r="T36" s="1"/>
      <c r="U36" s="1" t="str">
        <f>IFERROR(__xludf.DUMMYFUNCTION("""COMPUTED_VALUE"""),"Распространение арктических почв на территории России")</f>
        <v>Распространение арктических почв на территории России</v>
      </c>
      <c r="V36" s="1">
        <f>IFERROR(__xludf.DUMMYFUNCTION("""COMPUTED_VALUE"""),1035.0)</f>
        <v>1035</v>
      </c>
      <c r="W36" s="1" t="str">
        <f>IFERROR(__xludf.DUMMYFUNCTION("""COMPUTED_VALUE"""),"Металлургия, факторы размещения предприятий ")</f>
        <v>Металлургия, факторы размещения предприятий </v>
      </c>
      <c r="X36" s="1">
        <f>IFERROR(__xludf.DUMMYFUNCTION("""COMPUTED_VALUE"""),1136.0)</f>
        <v>1136</v>
      </c>
      <c r="Y36" s="1"/>
      <c r="Z36" s="1"/>
    </row>
    <row r="37">
      <c r="A37" s="1"/>
      <c r="B37" s="1"/>
      <c r="C37" s="1" t="str">
        <f>IFERROR(__xludf.DUMMYFUNCTION("""COMPUTED_VALUE"""),"Скотт Роберт")</f>
        <v>Скотт Роберт</v>
      </c>
      <c r="D37" s="1">
        <f>IFERROR(__xludf.DUMMYFUNCTION("""COMPUTED_VALUE"""),136.0)</f>
        <v>136</v>
      </c>
      <c r="E37" s="1"/>
      <c r="F37" s="1"/>
      <c r="G37" s="1" t="str">
        <f>IFERROR(__xludf.DUMMYFUNCTION("""COMPUTED_VALUE"""),"Работа ледников: ледниковые формы рельефа")</f>
        <v>Работа ледников: ледниковые формы рельефа</v>
      </c>
      <c r="H37" s="1">
        <f>IFERROR(__xludf.DUMMYFUNCTION("""COMPUTED_VALUE"""),336.0)</f>
        <v>336</v>
      </c>
      <c r="I37" s="1" t="str">
        <f>IFERROR(__xludf.DUMMYFUNCTION("""COMPUTED_VALUE"""),"Испаряемость, испарение")</f>
        <v>Испаряемость, испарение</v>
      </c>
      <c r="J37" s="1">
        <f>IFERROR(__xludf.DUMMYFUNCTION("""COMPUTED_VALUE"""),436.0)</f>
        <v>436</v>
      </c>
      <c r="K37" s="1"/>
      <c r="L37" s="1"/>
      <c r="M37" s="1" t="str">
        <f>IFERROR(__xludf.DUMMYFUNCTION("""COMPUTED_VALUE"""),"Загрязнение вод Мирового океана")</f>
        <v>Загрязнение вод Мирового океана</v>
      </c>
      <c r="N37" s="1">
        <f>IFERROR(__xludf.DUMMYFUNCTION("""COMPUTED_VALUE"""),636.0)</f>
        <v>636</v>
      </c>
      <c r="O37" s="1" t="str">
        <f>IFERROR(__xludf.DUMMYFUNCTION("""COMPUTED_VALUE"""),"Мировое машиностроение, факторы размещения")</f>
        <v>Мировое машиностроение, факторы размещения</v>
      </c>
      <c r="P37" s="1">
        <f>IFERROR(__xludf.DUMMYFUNCTION("""COMPUTED_VALUE"""),740.0)</f>
        <v>740</v>
      </c>
      <c r="Q37" s="1"/>
      <c r="R37" s="1"/>
      <c r="S37" s="1"/>
      <c r="T37" s="1"/>
      <c r="U37" s="1" t="str">
        <f>IFERROR(__xludf.DUMMYFUNCTION("""COMPUTED_VALUE"""),"Распространение тундрово-глеевых почв на территории России")</f>
        <v>Распространение тундрово-глеевых почв на территории России</v>
      </c>
      <c r="V37" s="1">
        <f>IFERROR(__xludf.DUMMYFUNCTION("""COMPUTED_VALUE"""),1036.0)</f>
        <v>1036</v>
      </c>
      <c r="W37" s="1" t="str">
        <f>IFERROR(__xludf.DUMMYFUNCTION("""COMPUTED_VALUE"""),"Черная металлургия:
факторы размещения предприятий, Металлургические базы и центры")</f>
        <v>Черная металлургия:
факторы размещения предприятий, Металлургические базы и центры</v>
      </c>
      <c r="X37" s="1">
        <f>IFERROR(__xludf.DUMMYFUNCTION("""COMPUTED_VALUE"""),1137.0)</f>
        <v>1137</v>
      </c>
      <c r="Y37" s="1"/>
      <c r="Z37" s="1"/>
    </row>
    <row r="38">
      <c r="A38" s="1"/>
      <c r="B38" s="1"/>
      <c r="C38" s="1" t="str">
        <f>IFERROR(__xludf.DUMMYFUNCTION("""COMPUTED_VALUE"""),"Этапы расселения в России")</f>
        <v>Этапы расселения в России</v>
      </c>
      <c r="D38" s="1">
        <f>IFERROR(__xludf.DUMMYFUNCTION("""COMPUTED_VALUE"""),137.0)</f>
        <v>137</v>
      </c>
      <c r="E38" s="1"/>
      <c r="F38" s="1"/>
      <c r="G38" s="1" t="str">
        <f>IFERROR(__xludf.DUMMYFUNCTION("""COMPUTED_VALUE"""),"Карст и формы карстового рельефа")</f>
        <v>Карст и формы карстового рельефа</v>
      </c>
      <c r="H38" s="1">
        <f>IFERROR(__xludf.DUMMYFUNCTION("""COMPUTED_VALUE"""),337.0)</f>
        <v>337</v>
      </c>
      <c r="I38" s="1" t="str">
        <f>IFERROR(__xludf.DUMMYFUNCTION("""COMPUTED_VALUE"""),"Средняя температура воздуха за сутки, месяц, год")</f>
        <v>Средняя температура воздуха за сутки, месяц, год</v>
      </c>
      <c r="J38" s="1">
        <f>IFERROR(__xludf.DUMMYFUNCTION("""COMPUTED_VALUE"""),437.0)</f>
        <v>437</v>
      </c>
      <c r="K38" s="1"/>
      <c r="L38" s="1"/>
      <c r="M38" s="1" t="str">
        <f>IFERROR(__xludf.DUMMYFUNCTION("""COMPUTED_VALUE"""),"Влияние транспорта на окружающую среду")</f>
        <v>Влияние транспорта на окружающую среду</v>
      </c>
      <c r="N38" s="1">
        <f>IFERROR(__xludf.DUMMYFUNCTION("""COMPUTED_VALUE"""),637.0)</f>
        <v>637</v>
      </c>
      <c r="O38" s="1" t="str">
        <f>IFERROR(__xludf.DUMMYFUNCTION("""COMPUTED_VALUE"""),"Химическая промышленность мира, факторы размещения")</f>
        <v>Химическая промышленность мира, факторы размещения</v>
      </c>
      <c r="P38" s="1">
        <f>IFERROR(__xludf.DUMMYFUNCTION("""COMPUTED_VALUE"""),741.0)</f>
        <v>741</v>
      </c>
      <c r="Q38" s="1"/>
      <c r="R38" s="1"/>
      <c r="S38" s="1"/>
      <c r="T38" s="1"/>
      <c r="U38" s="1" t="str">
        <f>IFERROR(__xludf.DUMMYFUNCTION("""COMPUTED_VALUE"""),"Распространение подзолистых почв на территории России")</f>
        <v>Распространение подзолистых почв на территории России</v>
      </c>
      <c r="V38" s="1">
        <f>IFERROR(__xludf.DUMMYFUNCTION("""COMPUTED_VALUE"""),1037.0)</f>
        <v>1037</v>
      </c>
      <c r="W38" s="1" t="str">
        <f>IFERROR(__xludf.DUMMYFUNCTION("""COMPUTED_VALUE"""),"Цветная металлургия, металлургические базы и центры")</f>
        <v>Цветная металлургия, металлургические базы и центры</v>
      </c>
      <c r="X38" s="1">
        <f>IFERROR(__xludf.DUMMYFUNCTION("""COMPUTED_VALUE"""),1138.0)</f>
        <v>1138</v>
      </c>
      <c r="Y38" s="1"/>
      <c r="Z38" s="1"/>
    </row>
    <row r="39">
      <c r="A39" s="1"/>
      <c r="B39" s="1"/>
      <c r="C39" s="1" t="str">
        <f>IFERROR(__xludf.DUMMYFUNCTION("""COMPUTED_VALUE"""),"Колонизация земель Россией")</f>
        <v>Колонизация земель Россией</v>
      </c>
      <c r="D39" s="1">
        <f>IFERROR(__xludf.DUMMYFUNCTION("""COMPUTED_VALUE"""),138.0)</f>
        <v>138</v>
      </c>
      <c r="E39" s="1"/>
      <c r="F39" s="1"/>
      <c r="G39" s="1" t="str">
        <f>IFERROR(__xludf.DUMMYFUNCTION("""COMPUTED_VALUE"""),"Суша Земли")</f>
        <v>Суша Земли</v>
      </c>
      <c r="H39" s="1">
        <f>IFERROR(__xludf.DUMMYFUNCTION("""COMPUTED_VALUE"""),338.0)</f>
        <v>338</v>
      </c>
      <c r="I39" s="1"/>
      <c r="J39" s="1"/>
      <c r="K39" s="1"/>
      <c r="L39" s="1"/>
      <c r="M39" s="1" t="str">
        <f>IFERROR(__xludf.DUMMYFUNCTION("""COMPUTED_VALUE"""),"Классификация энергетических ресурсов ")</f>
        <v>Классификация энергетических ресурсов </v>
      </c>
      <c r="N39" s="1">
        <f>IFERROR(__xludf.DUMMYFUNCTION("""COMPUTED_VALUE"""),638.0)</f>
        <v>638</v>
      </c>
      <c r="O39" s="1" t="str">
        <f>IFERROR(__xludf.DUMMYFUNCTION("""COMPUTED_VALUE"""),"Лесная промышленность мира, факторы размещения")</f>
        <v>Лесная промышленность мира, факторы размещения</v>
      </c>
      <c r="P39" s="1">
        <f>IFERROR(__xludf.DUMMYFUNCTION("""COMPUTED_VALUE"""),742.0)</f>
        <v>742</v>
      </c>
      <c r="Q39" s="1"/>
      <c r="R39" s="1"/>
      <c r="S39" s="1"/>
      <c r="T39" s="1"/>
      <c r="U39" s="1" t="str">
        <f>IFERROR(__xludf.DUMMYFUNCTION("""COMPUTED_VALUE"""),"Распространение дерново-подзолистых почв на территории России")</f>
        <v>Распространение дерново-подзолистых почв на территории России</v>
      </c>
      <c r="V39" s="1">
        <f>IFERROR(__xludf.DUMMYFUNCTION("""COMPUTED_VALUE"""),1038.0)</f>
        <v>1038</v>
      </c>
      <c r="W39" s="1" t="str">
        <f>IFERROR(__xludf.DUMMYFUNCTION("""COMPUTED_VALUE"""),"Металлургические комбинаты полного цикла
")</f>
        <v>Металлургические комбинаты полного цикла
</v>
      </c>
      <c r="X39" s="1">
        <f>IFERROR(__xludf.DUMMYFUNCTION("""COMPUTED_VALUE"""),1139.0)</f>
        <v>1139</v>
      </c>
      <c r="Y39" s="1"/>
      <c r="Z39" s="1"/>
    </row>
    <row r="40">
      <c r="A40" s="1"/>
      <c r="B40" s="1"/>
      <c r="C40" s="1" t="str">
        <f>IFERROR(__xludf.DUMMYFUNCTION("""COMPUTED_VALUE"""),"Направления расширения территории России")</f>
        <v>Направления расширения территории России</v>
      </c>
      <c r="D40" s="1">
        <f>IFERROR(__xludf.DUMMYFUNCTION("""COMPUTED_VALUE"""),139.0)</f>
        <v>139</v>
      </c>
      <c r="E40" s="1"/>
      <c r="F40" s="1"/>
      <c r="G40" s="1" t="str">
        <f>IFERROR(__xludf.DUMMYFUNCTION("""COMPUTED_VALUE"""),"Шкала Рихтера")</f>
        <v>Шкала Рихтера</v>
      </c>
      <c r="H40" s="1">
        <f>IFERROR(__xludf.DUMMYFUNCTION("""COMPUTED_VALUE"""),339.0)</f>
        <v>339</v>
      </c>
      <c r="I40" s="1"/>
      <c r="J40" s="1"/>
      <c r="K40" s="1"/>
      <c r="L40" s="1"/>
      <c r="M40" s="1" t="str">
        <f>IFERROR(__xludf.DUMMYFUNCTION("""COMPUTED_VALUE"""),"Особо охраняемые природные территории ")</f>
        <v>Особо охраняемые природные территории </v>
      </c>
      <c r="N40" s="1">
        <f>IFERROR(__xludf.DUMMYFUNCTION("""COMPUTED_VALUE"""),639.0)</f>
        <v>639</v>
      </c>
      <c r="O40" s="1" t="str">
        <f>IFERROR(__xludf.DUMMYFUNCTION("""COMPUTED_VALUE"""),"Мировое судостроение, факторы размещения")</f>
        <v>Мировое судостроение, факторы размещения</v>
      </c>
      <c r="P40" s="1">
        <f>IFERROR(__xludf.DUMMYFUNCTION("""COMPUTED_VALUE"""),743.0)</f>
        <v>743</v>
      </c>
      <c r="Q40" s="1"/>
      <c r="R40" s="1"/>
      <c r="S40" s="1"/>
      <c r="T40" s="1"/>
      <c r="U40" s="1" t="str">
        <f>IFERROR(__xludf.DUMMYFUNCTION("""COMPUTED_VALUE"""),"Распространение бурых лесных почв на территории России")</f>
        <v>Распространение бурых лесных почв на территории России</v>
      </c>
      <c r="V40" s="1">
        <f>IFERROR(__xludf.DUMMYFUNCTION("""COMPUTED_VALUE"""),1039.0)</f>
        <v>1039</v>
      </c>
      <c r="W40" s="1" t="str">
        <f>IFERROR(__xludf.DUMMYFUNCTION("""COMPUTED_VALUE"""),"Машиностроение, факторы размещения предприятий и центры")</f>
        <v>Машиностроение, факторы размещения предприятий и центры</v>
      </c>
      <c r="X40" s="1">
        <f>IFERROR(__xludf.DUMMYFUNCTION("""COMPUTED_VALUE"""),1140.0)</f>
        <v>1140</v>
      </c>
      <c r="Y40" s="1"/>
      <c r="Z40" s="1"/>
    </row>
    <row r="41">
      <c r="A41" s="1"/>
      <c r="B41" s="1"/>
      <c r="C41" s="1" t="str">
        <f>IFERROR(__xludf.DUMMYFUNCTION("""COMPUTED_VALUE"""),"Перспективы развития территории России")</f>
        <v>Перспективы развития территории России</v>
      </c>
      <c r="D41" s="1">
        <f>IFERROR(__xludf.DUMMYFUNCTION("""COMPUTED_VALUE"""),140.0)</f>
        <v>140</v>
      </c>
      <c r="E41" s="1"/>
      <c r="F41" s="1"/>
      <c r="G41" s="1" t="str">
        <f>IFERROR(__xludf.DUMMYFUNCTION("""COMPUTED_VALUE"""),"Рельеф")</f>
        <v>Рельеф</v>
      </c>
      <c r="H41" s="1">
        <f>IFERROR(__xludf.DUMMYFUNCTION("""COMPUTED_VALUE"""),340.0)</f>
        <v>340</v>
      </c>
      <c r="I41" s="1"/>
      <c r="J41" s="1"/>
      <c r="K41" s="1"/>
      <c r="L41" s="1"/>
      <c r="M41" s="1"/>
      <c r="N41" s="1"/>
      <c r="O41" s="1" t="str">
        <f>IFERROR(__xludf.DUMMYFUNCTION("""COMPUTED_VALUE"""),"Пищевая промышленность, факторы размещения")</f>
        <v>Пищевая промышленность, факторы размещения</v>
      </c>
      <c r="P41" s="1">
        <f>IFERROR(__xludf.DUMMYFUNCTION("""COMPUTED_VALUE"""),744.0)</f>
        <v>744</v>
      </c>
      <c r="Q41" s="1"/>
      <c r="R41" s="1"/>
      <c r="S41" s="1"/>
      <c r="T41" s="1"/>
      <c r="U41" s="1" t="str">
        <f>IFERROR(__xludf.DUMMYFUNCTION("""COMPUTED_VALUE"""),"Распространение серых лесных почв на территории России")</f>
        <v>Распространение серых лесных почв на территории России</v>
      </c>
      <c r="V41" s="1">
        <f>IFERROR(__xludf.DUMMYFUNCTION("""COMPUTED_VALUE"""),1040.0)</f>
        <v>1040</v>
      </c>
      <c r="W41" s="1" t="str">
        <f>IFERROR(__xludf.DUMMYFUNCTION("""COMPUTED_VALUE"""),"Австомобилестроение, факторы размещения предприятий и центры")</f>
        <v>Австомобилестроение, факторы размещения предприятий и центры</v>
      </c>
      <c r="X41" s="1">
        <f>IFERROR(__xludf.DUMMYFUNCTION("""COMPUTED_VALUE"""),1141.0)</f>
        <v>1141</v>
      </c>
      <c r="Y41" s="1"/>
      <c r="Z41" s="1"/>
    </row>
    <row r="42">
      <c r="A42" s="1"/>
      <c r="B42" s="1"/>
      <c r="C42" s="1"/>
      <c r="D42" s="1"/>
      <c r="E42" s="1"/>
      <c r="F42" s="1"/>
      <c r="G42" s="1" t="str">
        <f>IFERROR(__xludf.DUMMYFUNCTION("""COMPUTED_VALUE"""),"Основные формы рельефа: горы и равнины")</f>
        <v>Основные формы рельефа: горы и равнины</v>
      </c>
      <c r="H42" s="1">
        <f>IFERROR(__xludf.DUMMYFUNCTION("""COMPUTED_VALUE"""),341.0)</f>
        <v>341</v>
      </c>
      <c r="I42" s="1"/>
      <c r="J42" s="1"/>
      <c r="K42" s="1"/>
      <c r="L42" s="1"/>
      <c r="M42" s="1"/>
      <c r="N42" s="1"/>
      <c r="O42" s="1" t="str">
        <f>IFERROR(__xludf.DUMMYFUNCTION("""COMPUTED_VALUE"""),"Легкая промышленность, факторы размещения")</f>
        <v>Легкая промышленность, факторы размещения</v>
      </c>
      <c r="P42" s="1">
        <f>IFERROR(__xludf.DUMMYFUNCTION("""COMPUTED_VALUE"""),745.0)</f>
        <v>745</v>
      </c>
      <c r="Q42" s="1"/>
      <c r="R42" s="1"/>
      <c r="S42" s="1"/>
      <c r="T42" s="1"/>
      <c r="U42" s="1" t="str">
        <f>IFERROR(__xludf.DUMMYFUNCTION("""COMPUTED_VALUE"""),"Распространение черноземных почв на территории России")</f>
        <v>Распространение черноземных почв на территории России</v>
      </c>
      <c r="V42" s="1">
        <f>IFERROR(__xludf.DUMMYFUNCTION("""COMPUTED_VALUE"""),1041.0)</f>
        <v>1041</v>
      </c>
      <c r="W42" s="1" t="str">
        <f>IFERROR(__xludf.DUMMYFUNCTION("""COMPUTED_VALUE"""),"Тракторостроение, факторы размещения предприятий и центры")</f>
        <v>Тракторостроение, факторы размещения предприятий и центры</v>
      </c>
      <c r="X42" s="1">
        <f>IFERROR(__xludf.DUMMYFUNCTION("""COMPUTED_VALUE"""),1142.0)</f>
        <v>1142</v>
      </c>
      <c r="Y42" s="1"/>
      <c r="Z42" s="1"/>
    </row>
    <row r="43">
      <c r="A43" s="1"/>
      <c r="B43" s="1"/>
      <c r="C43" s="1"/>
      <c r="D43" s="1"/>
      <c r="E43" s="1"/>
      <c r="F43" s="1"/>
      <c r="G43" s="1" t="str">
        <f>IFERROR(__xludf.DUMMYFUNCTION("""COMPUTED_VALUE"""),"Различие равнин по высоте")</f>
        <v>Различие равнин по высоте</v>
      </c>
      <c r="H43" s="1">
        <f>IFERROR(__xludf.DUMMYFUNCTION("""COMPUTED_VALUE"""),342.0)</f>
        <v>342</v>
      </c>
      <c r="I43" s="1"/>
      <c r="J43" s="1"/>
      <c r="K43" s="1"/>
      <c r="L43" s="1"/>
      <c r="M43" s="1"/>
      <c r="N43" s="1"/>
      <c r="O43" s="1" t="str">
        <f>IFERROR(__xludf.DUMMYFUNCTION("""COMPUTED_VALUE"""),"Ведущие страны-экспортеры основных видов промышленной продукции.")</f>
        <v>Ведущие страны-экспортеры основных видов промышленной продукции.</v>
      </c>
      <c r="P43" s="1">
        <f>IFERROR(__xludf.DUMMYFUNCTION("""COMPUTED_VALUE"""),746.0)</f>
        <v>746</v>
      </c>
      <c r="Q43" s="1"/>
      <c r="R43" s="1"/>
      <c r="S43" s="1"/>
      <c r="T43" s="1"/>
      <c r="U43" s="1" t="str">
        <f>IFERROR(__xludf.DUMMYFUNCTION("""COMPUTED_VALUE"""),"Распространение каштановых почв на территории России")</f>
        <v>Распространение каштановых почв на территории России</v>
      </c>
      <c r="V43" s="1">
        <f>IFERROR(__xludf.DUMMYFUNCTION("""COMPUTED_VALUE"""),1042.0)</f>
        <v>1042</v>
      </c>
      <c r="W43" s="1" t="str">
        <f>IFERROR(__xludf.DUMMYFUNCTION("""COMPUTED_VALUE"""),"Сельскохозяйственное машиностроение, факторы размещения предприятий и центры")</f>
        <v>Сельскохозяйственное машиностроение, факторы размещения предприятий и центры</v>
      </c>
      <c r="X43" s="1">
        <f>IFERROR(__xludf.DUMMYFUNCTION("""COMPUTED_VALUE"""),1143.0)</f>
        <v>1143</v>
      </c>
      <c r="Y43" s="1"/>
      <c r="Z43" s="1"/>
    </row>
    <row r="44">
      <c r="A44" s="1"/>
      <c r="B44" s="1"/>
      <c r="C44" s="1"/>
      <c r="D44" s="1"/>
      <c r="E44" s="1"/>
      <c r="F44" s="1"/>
      <c r="G44" s="1" t="str">
        <f>IFERROR(__xludf.DUMMYFUNCTION("""COMPUTED_VALUE"""),"Различие гор по высоте")</f>
        <v>Различие гор по высоте</v>
      </c>
      <c r="H44" s="1">
        <f>IFERROR(__xludf.DUMMYFUNCTION("""COMPUTED_VALUE"""),343.0)</f>
        <v>343</v>
      </c>
      <c r="I44" s="1"/>
      <c r="J44" s="1"/>
      <c r="K44" s="1"/>
      <c r="L44" s="1"/>
      <c r="M44" s="1"/>
      <c r="N44" s="1"/>
      <c r="O44" s="1" t="str">
        <f>IFERROR(__xludf.DUMMYFUNCTION("""COMPUTED_VALUE"""),"Сельское хозяйство. Аграрные отношения в странах разного типа")</f>
        <v>Сельское хозяйство. Аграрные отношения в странах разного типа</v>
      </c>
      <c r="P44" s="1">
        <f>IFERROR(__xludf.DUMMYFUNCTION("""COMPUTED_VALUE"""),747.0)</f>
        <v>747</v>
      </c>
      <c r="Q44" s="1"/>
      <c r="R44" s="1"/>
      <c r="S44" s="1"/>
      <c r="T44" s="1"/>
      <c r="U44" s="1" t="str">
        <f>IFERROR(__xludf.DUMMYFUNCTION("""COMPUTED_VALUE"""),"Распространение полупустынных почв на территории России")</f>
        <v>Распространение полупустынных почв на территории России</v>
      </c>
      <c r="V44" s="1">
        <f>IFERROR(__xludf.DUMMYFUNCTION("""COMPUTED_VALUE"""),1043.0)</f>
        <v>1043</v>
      </c>
      <c r="W44" s="1" t="str">
        <f>IFERROR(__xludf.DUMMYFUNCTION("""COMPUTED_VALUE"""),"Судостроение, факторы размещения предприятий и центры")</f>
        <v>Судостроение, факторы размещения предприятий и центры</v>
      </c>
      <c r="X44" s="1">
        <f>IFERROR(__xludf.DUMMYFUNCTION("""COMPUTED_VALUE"""),1144.0)</f>
        <v>1144</v>
      </c>
      <c r="Y44" s="1"/>
      <c r="Z44" s="1"/>
    </row>
    <row r="45">
      <c r="A45" s="1"/>
      <c r="B45" s="1"/>
      <c r="C45" s="1"/>
      <c r="D45" s="1"/>
      <c r="E45" s="1"/>
      <c r="F45" s="1"/>
      <c r="G45" s="1" t="str">
        <f>IFERROR(__xludf.DUMMYFUNCTION("""COMPUTED_VALUE"""),"Рельеф дна Мирового океана")</f>
        <v>Рельеф дна Мирового океана</v>
      </c>
      <c r="H45" s="1">
        <f>IFERROR(__xludf.DUMMYFUNCTION("""COMPUTED_VALUE"""),344.0)</f>
        <v>344</v>
      </c>
      <c r="I45" s="1"/>
      <c r="J45" s="1"/>
      <c r="K45" s="1"/>
      <c r="L45" s="1"/>
      <c r="M45" s="1"/>
      <c r="N45" s="1"/>
      <c r="O45" s="1" t="str">
        <f>IFERROR(__xludf.DUMMYFUNCTION("""COMPUTED_VALUE"""),"Крупнейшие производители сельскохозяйственной продукциии в мире")</f>
        <v>Крупнейшие производители сельскохозяйственной продукциии в мире</v>
      </c>
      <c r="P45" s="1">
        <f>IFERROR(__xludf.DUMMYFUNCTION("""COMPUTED_VALUE"""),748.0)</f>
        <v>748</v>
      </c>
      <c r="Q45" s="1"/>
      <c r="R45" s="1"/>
      <c r="S45" s="1"/>
      <c r="T45" s="1"/>
      <c r="U45" s="1" t="str">
        <f>IFERROR(__xludf.DUMMYFUNCTION("""COMPUTED_VALUE"""),"Распространение красноземов и желтоземов на территории России")</f>
        <v>Распространение красноземов и желтоземов на территории России</v>
      </c>
      <c r="V45" s="1">
        <f>IFERROR(__xludf.DUMMYFUNCTION("""COMPUTED_VALUE"""),1044.0)</f>
        <v>1044</v>
      </c>
      <c r="W45" s="1" t="str">
        <f>IFERROR(__xludf.DUMMYFUNCTION("""COMPUTED_VALUE"""),"Тяжелое машиностроение, факторы размещения предприятий и центры")</f>
        <v>Тяжелое машиностроение, факторы размещения предприятий и центры</v>
      </c>
      <c r="X45" s="1">
        <f>IFERROR(__xludf.DUMMYFUNCTION("""COMPUTED_VALUE"""),1145.0)</f>
        <v>1145</v>
      </c>
      <c r="Y45" s="1"/>
      <c r="Z45" s="1"/>
    </row>
    <row r="46">
      <c r="A46" s="1"/>
      <c r="B46" s="1"/>
      <c r="C46" s="1"/>
      <c r="D46" s="1"/>
      <c r="E46" s="1"/>
      <c r="F46" s="1"/>
      <c r="G46" s="1" t="str">
        <f>IFERROR(__xludf.DUMMYFUNCTION("""COMPUTED_VALUE"""),"Объекты рельефа мира")</f>
        <v>Объекты рельефа мира</v>
      </c>
      <c r="H46" s="1">
        <f>IFERROR(__xludf.DUMMYFUNCTION("""COMPUTED_VALUE"""),345.0)</f>
        <v>345</v>
      </c>
      <c r="I46" s="1"/>
      <c r="J46" s="1"/>
      <c r="K46" s="1"/>
      <c r="L46" s="1"/>
      <c r="M46" s="1"/>
      <c r="N46" s="1"/>
      <c r="O46" s="1" t="str">
        <f>IFERROR(__xludf.DUMMYFUNCTION("""COMPUTED_VALUE"""),"Ведущие страны - экспортеры зерновых культур")</f>
        <v>Ведущие страны - экспортеры зерновых культур</v>
      </c>
      <c r="P46" s="1">
        <f>IFERROR(__xludf.DUMMYFUNCTION("""COMPUTED_VALUE"""),749.0)</f>
        <v>749</v>
      </c>
      <c r="Q46" s="1"/>
      <c r="R46" s="1"/>
      <c r="S46" s="1"/>
      <c r="T46" s="1"/>
      <c r="U46" s="1" t="str">
        <f>IFERROR(__xludf.DUMMYFUNCTION("""COMPUTED_VALUE"""),"Природные зоны России")</f>
        <v>Природные зоны России</v>
      </c>
      <c r="V46" s="1">
        <f>IFERROR(__xludf.DUMMYFUNCTION("""COMPUTED_VALUE"""),1045.0)</f>
        <v>1045</v>
      </c>
      <c r="W46" s="1" t="str">
        <f>IFERROR(__xludf.DUMMYFUNCTION("""COMPUTED_VALUE"""),"Точное машиностроение, факторы размещения предприятий и центры")</f>
        <v>Точное машиностроение, факторы размещения предприятий и центры</v>
      </c>
      <c r="X46" s="1">
        <f>IFERROR(__xludf.DUMMYFUNCTION("""COMPUTED_VALUE"""),1146.0)</f>
        <v>1146</v>
      </c>
      <c r="Y46" s="1"/>
      <c r="Z46" s="1"/>
    </row>
    <row r="47">
      <c r="A47" s="1"/>
      <c r="B47" s="1"/>
      <c r="C47" s="1"/>
      <c r="D47" s="1"/>
      <c r="E47" s="1"/>
      <c r="F47" s="1"/>
      <c r="G47" s="1" t="str">
        <f>IFERROR(__xludf.DUMMYFUNCTION("""COMPUTED_VALUE"""),"Геологическая хронология")</f>
        <v>Геологическая хронология</v>
      </c>
      <c r="H47" s="1">
        <f>IFERROR(__xludf.DUMMYFUNCTION("""COMPUTED_VALUE"""),346.0)</f>
        <v>346</v>
      </c>
      <c r="I47" s="1"/>
      <c r="J47" s="1"/>
      <c r="K47" s="1"/>
      <c r="L47" s="1"/>
      <c r="M47" s="1"/>
      <c r="N47" s="1"/>
      <c r="O47" s="1" t="str">
        <f>IFERROR(__xludf.DUMMYFUNCTION("""COMPUTED_VALUE"""),"Ведущие страны-экспортеры технических волокнистых культур и каучуконосов")</f>
        <v>Ведущие страны-экспортеры технических волокнистых культур и каучуконосов</v>
      </c>
      <c r="P47" s="1">
        <f>IFERROR(__xludf.DUMMYFUNCTION("""COMPUTED_VALUE"""),750.0)</f>
        <v>750</v>
      </c>
      <c r="Q47" s="1"/>
      <c r="R47" s="1"/>
      <c r="S47" s="1"/>
      <c r="T47" s="1"/>
      <c r="U47" s="1" t="str">
        <f>IFERROR(__xludf.DUMMYFUNCTION("""COMPUTED_VALUE"""),"Особенности увлажнения отдельных территорий страны (коэффициент увлажнения)")</f>
        <v>Особенности увлажнения отдельных территорий страны (коэффициент увлажнения)</v>
      </c>
      <c r="V47" s="1">
        <f>IFERROR(__xludf.DUMMYFUNCTION("""COMPUTED_VALUE"""),1046.0)</f>
        <v>1046</v>
      </c>
      <c r="W47" s="1" t="str">
        <f>IFERROR(__xludf.DUMMYFUNCTION("""COMPUTED_VALUE"""),"Пищевая промышленность")</f>
        <v>Пищевая промышленность</v>
      </c>
      <c r="X47" s="1">
        <f>IFERROR(__xludf.DUMMYFUNCTION("""COMPUTED_VALUE"""),1148.0)</f>
        <v>1148</v>
      </c>
      <c r="Y47" s="1"/>
      <c r="Z47" s="1"/>
    </row>
    <row r="48">
      <c r="A48" s="1"/>
      <c r="B48" s="1"/>
      <c r="C48" s="1"/>
      <c r="D48" s="1"/>
      <c r="E48" s="1"/>
      <c r="F48" s="1"/>
      <c r="G48" s="1" t="str">
        <f>IFERROR(__xludf.DUMMYFUNCTION("""COMPUTED_VALUE"""),"Геологические эры")</f>
        <v>Геологические эры</v>
      </c>
      <c r="H48" s="1">
        <f>IFERROR(__xludf.DUMMYFUNCTION("""COMPUTED_VALUE"""),347.0)</f>
        <v>347</v>
      </c>
      <c r="I48" s="1"/>
      <c r="J48" s="1"/>
      <c r="K48" s="1"/>
      <c r="L48" s="1"/>
      <c r="M48" s="1"/>
      <c r="N48" s="1"/>
      <c r="O48" s="1" t="str">
        <f>IFERROR(__xludf.DUMMYFUNCTION("""COMPUTED_VALUE""")," Ведущие страны-экспортеры технических сахароносных и масличных культур")</f>
        <v> Ведущие страны-экспортеры технических сахароносных и масличных культур</v>
      </c>
      <c r="P48" s="1">
        <f>IFERROR(__xludf.DUMMYFUNCTION("""COMPUTED_VALUE"""),751.0)</f>
        <v>751</v>
      </c>
      <c r="Q48" s="1"/>
      <c r="R48" s="1"/>
      <c r="S48" s="1"/>
      <c r="T48" s="1"/>
      <c r="U48" s="1" t="str">
        <f>IFERROR(__xludf.DUMMYFUNCTION("""COMPUTED_VALUE"""),"Арктические пустыни России")</f>
        <v>Арктические пустыни России</v>
      </c>
      <c r="V48" s="1">
        <f>IFERROR(__xludf.DUMMYFUNCTION("""COMPUTED_VALUE"""),1047.0)</f>
        <v>1047</v>
      </c>
      <c r="W48" s="1" t="str">
        <f>IFERROR(__xludf.DUMMYFUNCTION("""COMPUTED_VALUE"""),"Легкая промышленность")</f>
        <v>Легкая промышленность</v>
      </c>
      <c r="X48" s="1">
        <f>IFERROR(__xludf.DUMMYFUNCTION("""COMPUTED_VALUE"""),1149.0)</f>
        <v>1149</v>
      </c>
      <c r="Y48" s="1"/>
      <c r="Z48" s="1"/>
    </row>
    <row r="49">
      <c r="A49" s="1"/>
      <c r="B49" s="1"/>
      <c r="C49" s="1"/>
      <c r="D49" s="1"/>
      <c r="E49" s="1"/>
      <c r="F49" s="1"/>
      <c r="G49" s="1" t="str">
        <f>IFERROR(__xludf.DUMMYFUNCTION("""COMPUTED_VALUE"""),"Геологические периоды")</f>
        <v>Геологические периоды</v>
      </c>
      <c r="H49" s="1">
        <f>IFERROR(__xludf.DUMMYFUNCTION("""COMPUTED_VALUE"""),348.0)</f>
        <v>348</v>
      </c>
      <c r="I49" s="1"/>
      <c r="J49" s="1"/>
      <c r="K49" s="1"/>
      <c r="L49" s="1"/>
      <c r="M49" s="1"/>
      <c r="N49" s="1"/>
      <c r="O49" s="1" t="str">
        <f>IFERROR(__xludf.DUMMYFUNCTION("""COMPUTED_VALUE"""),"Ведущие страны-экспортеры технических тонизирующих культур")</f>
        <v>Ведущие страны-экспортеры технических тонизирующих культур</v>
      </c>
      <c r="P49" s="1">
        <f>IFERROR(__xludf.DUMMYFUNCTION("""COMPUTED_VALUE"""),752.0)</f>
        <v>752</v>
      </c>
      <c r="Q49" s="1"/>
      <c r="R49" s="1"/>
      <c r="S49" s="1"/>
      <c r="T49" s="1"/>
      <c r="U49" s="1" t="str">
        <f>IFERROR(__xludf.DUMMYFUNCTION("""COMPUTED_VALUE"""),"Тундры и лесотундры России")</f>
        <v>Тундры и лесотундры России</v>
      </c>
      <c r="V49" s="1">
        <f>IFERROR(__xludf.DUMMYFUNCTION("""COMPUTED_VALUE"""),1048.0)</f>
        <v>1048</v>
      </c>
      <c r="W49" s="1" t="str">
        <f>IFERROR(__xludf.DUMMYFUNCTION("""COMPUTED_VALUE"""),"Транспорт")</f>
        <v>Транспорт</v>
      </c>
      <c r="X49" s="1">
        <f>IFERROR(__xludf.DUMMYFUNCTION("""COMPUTED_VALUE"""),1150.0)</f>
        <v>1150</v>
      </c>
      <c r="Y49" s="1"/>
      <c r="Z49" s="1"/>
    </row>
    <row r="50">
      <c r="A50" s="1"/>
      <c r="B50" s="1"/>
      <c r="C50" s="1"/>
      <c r="D50" s="1"/>
      <c r="E50" s="1"/>
      <c r="F50" s="1"/>
      <c r="G50" s="1" t="str">
        <f>IFERROR(__xludf.DUMMYFUNCTION("""COMPUTED_VALUE"""),"Эпохи горообразования")</f>
        <v>Эпохи горообразования</v>
      </c>
      <c r="H50" s="1">
        <f>IFERROR(__xludf.DUMMYFUNCTION("""COMPUTED_VALUE"""),349.0)</f>
        <v>349</v>
      </c>
      <c r="I50" s="1"/>
      <c r="J50" s="1"/>
      <c r="K50" s="1"/>
      <c r="L50" s="1"/>
      <c r="M50" s="1"/>
      <c r="N50" s="1"/>
      <c r="O50" s="1" t="str">
        <f>IFERROR(__xludf.DUMMYFUNCTION("""COMPUTED_VALUE"""),"География садоводства и виноградарства")</f>
        <v>География садоводства и виноградарства</v>
      </c>
      <c r="P50" s="1">
        <f>IFERROR(__xludf.DUMMYFUNCTION("""COMPUTED_VALUE"""),753.0)</f>
        <v>753</v>
      </c>
      <c r="Q50" s="1"/>
      <c r="R50" s="1"/>
      <c r="S50" s="1"/>
      <c r="T50" s="1"/>
      <c r="U50" s="1" t="str">
        <f>IFERROR(__xludf.DUMMYFUNCTION("""COMPUTED_VALUE"""),"Тайга России")</f>
        <v>Тайга России</v>
      </c>
      <c r="V50" s="1">
        <f>IFERROR(__xludf.DUMMYFUNCTION("""COMPUTED_VALUE"""),1049.0)</f>
        <v>1049</v>
      </c>
      <c r="W50" s="1" t="str">
        <f>IFERROR(__xludf.DUMMYFUNCTION("""COMPUTED_VALUE"""),"Преимущества и недостатки отдельных видов
транспорта")</f>
        <v>Преимущества и недостатки отдельных видов
транспорта</v>
      </c>
      <c r="X50" s="1">
        <f>IFERROR(__xludf.DUMMYFUNCTION("""COMPUTED_VALUE"""),1151.0)</f>
        <v>1151</v>
      </c>
      <c r="Y50" s="1"/>
      <c r="Z50" s="1"/>
    </row>
    <row r="51">
      <c r="A51" s="1"/>
      <c r="B51" s="1"/>
      <c r="C51" s="1"/>
      <c r="D51" s="1"/>
      <c r="E51" s="1"/>
      <c r="F51" s="1"/>
      <c r="G51" s="1" t="str">
        <f>IFERROR(__xludf.DUMMYFUNCTION("""COMPUTED_VALUE"""),"Антропогенные формы рельефа")</f>
        <v>Антропогенные формы рельефа</v>
      </c>
      <c r="H51" s="1">
        <f>IFERROR(__xludf.DUMMYFUNCTION("""COMPUTED_VALUE"""),350.0)</f>
        <v>350</v>
      </c>
      <c r="I51" s="1"/>
      <c r="J51" s="1"/>
      <c r="K51" s="1"/>
      <c r="L51" s="1"/>
      <c r="M51" s="1"/>
      <c r="N51" s="1"/>
      <c r="O51" s="1" t="str">
        <f>IFERROR(__xludf.DUMMYFUNCTION("""COMPUTED_VALUE"""),"География скотоводства. Страны- экспортеры мяса")</f>
        <v>География скотоводства. Страны- экспортеры мяса</v>
      </c>
      <c r="P51" s="1">
        <f>IFERROR(__xludf.DUMMYFUNCTION("""COMPUTED_VALUE"""),754.0)</f>
        <v>754</v>
      </c>
      <c r="Q51" s="1"/>
      <c r="R51" s="1"/>
      <c r="S51" s="1"/>
      <c r="T51" s="1"/>
      <c r="U51" s="1" t="str">
        <f>IFERROR(__xludf.DUMMYFUNCTION("""COMPUTED_VALUE"""),"Смешанные и широколиственные леса России")</f>
        <v>Смешанные и широколиственные леса России</v>
      </c>
      <c r="V51" s="1">
        <f>IFERROR(__xludf.DUMMYFUNCTION("""COMPUTED_VALUE"""),1050.0)</f>
        <v>1050</v>
      </c>
      <c r="W51" s="1" t="str">
        <f>IFERROR(__xludf.DUMMYFUNCTION("""COMPUTED_VALUE"""),"Сухопутный, водный и воздушный транспорт")</f>
        <v>Сухопутный, водный и воздушный транспорт</v>
      </c>
      <c r="X51" s="1">
        <f>IFERROR(__xludf.DUMMYFUNCTION("""COMPUTED_VALUE"""),1152.0)</f>
        <v>1152</v>
      </c>
      <c r="Y51" s="1"/>
      <c r="Z51" s="1"/>
    </row>
    <row r="52">
      <c r="A52" s="1"/>
      <c r="B52" s="1"/>
      <c r="C52" s="1"/>
      <c r="D52" s="1"/>
      <c r="E52" s="1"/>
      <c r="F52" s="1"/>
      <c r="G52" s="1" t="str">
        <f>IFERROR(__xludf.DUMMYFUNCTION("""COMPUTED_VALUE"""),"Цунами")</f>
        <v>Цунами</v>
      </c>
      <c r="H52" s="1">
        <f>IFERROR(__xludf.DUMMYFUNCTION("""COMPUTED_VALUE"""),351.0)</f>
        <v>351</v>
      </c>
      <c r="I52" s="1"/>
      <c r="J52" s="1"/>
      <c r="K52" s="1"/>
      <c r="L52" s="1"/>
      <c r="M52" s="1"/>
      <c r="N52" s="1"/>
      <c r="O52" s="1" t="str">
        <f>IFERROR(__xludf.DUMMYFUNCTION("""COMPUTED_VALUE"""),"География овцеводства. Страны -экспортеры шерсти")</f>
        <v>География овцеводства. Страны -экспортеры шерсти</v>
      </c>
      <c r="P52" s="1">
        <f>IFERROR(__xludf.DUMMYFUNCTION("""COMPUTED_VALUE"""),755.0)</f>
        <v>755</v>
      </c>
      <c r="Q52" s="1"/>
      <c r="R52" s="1"/>
      <c r="S52" s="1"/>
      <c r="T52" s="1"/>
      <c r="U52" s="1" t="str">
        <f>IFERROR(__xludf.DUMMYFUNCTION("""COMPUTED_VALUE"""),"Степи и лесостепи России")</f>
        <v>Степи и лесостепи России</v>
      </c>
      <c r="V52" s="1">
        <f>IFERROR(__xludf.DUMMYFUNCTION("""COMPUTED_VALUE"""),1051.0)</f>
        <v>1051</v>
      </c>
      <c r="W52" s="1" t="str">
        <f>IFERROR(__xludf.DUMMYFUNCTION("""COMPUTED_VALUE"""),"Трубопроводный транспорт")</f>
        <v>Трубопроводный транспорт</v>
      </c>
      <c r="X52" s="1">
        <f>IFERROR(__xludf.DUMMYFUNCTION("""COMPUTED_VALUE"""),1153.0)</f>
        <v>1153</v>
      </c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 t="str">
        <f>IFERROR(__xludf.DUMMYFUNCTION("""COMPUTED_VALUE"""),"Мировая транспортная система.Основные преимуществаразличных видов транспорта")</f>
        <v>Мировая транспортная система.Основные преимуществаразличных видов транспорта</v>
      </c>
      <c r="P53" s="1">
        <f>IFERROR(__xludf.DUMMYFUNCTION("""COMPUTED_VALUE"""),756.0)</f>
        <v>756</v>
      </c>
      <c r="Q53" s="1"/>
      <c r="R53" s="1"/>
      <c r="S53" s="1"/>
      <c r="T53" s="1"/>
      <c r="U53" s="1" t="str">
        <f>IFERROR(__xludf.DUMMYFUNCTION("""COMPUTED_VALUE"""),"Полупустыни России")</f>
        <v>Полупустыни России</v>
      </c>
      <c r="V53" s="1">
        <f>IFERROR(__xludf.DUMMYFUNCTION("""COMPUTED_VALUE"""),1052.0)</f>
        <v>1052</v>
      </c>
      <c r="W53" s="1" t="str">
        <f>IFERROR(__xludf.DUMMYFUNCTION("""COMPUTED_VALUE"""),"Северный морской путь. Порты")</f>
        <v>Северный морской путь. Порты</v>
      </c>
      <c r="X53" s="1">
        <f>IFERROR(__xludf.DUMMYFUNCTION("""COMPUTED_VALUE"""),1154.0)</f>
        <v>1154</v>
      </c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 t="str">
        <f>IFERROR(__xludf.DUMMYFUNCTION("""COMPUTED_VALUE"""),"География железнодорожного транспорта")</f>
        <v>География железнодорожного транспорта</v>
      </c>
      <c r="P54" s="1">
        <f>IFERROR(__xludf.DUMMYFUNCTION("""COMPUTED_VALUE"""),757.0)</f>
        <v>757</v>
      </c>
      <c r="Q54" s="1"/>
      <c r="R54" s="1"/>
      <c r="S54" s="1"/>
      <c r="T54" s="1"/>
      <c r="U54" s="1" t="str">
        <f>IFERROR(__xludf.DUMMYFUNCTION("""COMPUTED_VALUE"""),"Природа Крыма")</f>
        <v>Природа Крыма</v>
      </c>
      <c r="V54" s="1">
        <f>IFERROR(__xludf.DUMMYFUNCTION("""COMPUTED_VALUE"""),1053.0)</f>
        <v>1053</v>
      </c>
      <c r="W54" s="1" t="str">
        <f>IFERROR(__xludf.DUMMYFUNCTION("""COMPUTED_VALUE"""),"Железнодорожные магистрали")</f>
        <v>Железнодорожные магистрали</v>
      </c>
      <c r="X54" s="1">
        <f>IFERROR(__xludf.DUMMYFUNCTION("""COMPUTED_VALUE"""),1155.0)</f>
        <v>1155</v>
      </c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 t="str">
        <f>IFERROR(__xludf.DUMMYFUNCTION("""COMPUTED_VALUE"""),"География автомобильного транспорта")</f>
        <v>География автомобильного транспорта</v>
      </c>
      <c r="P55" s="1">
        <f>IFERROR(__xludf.DUMMYFUNCTION("""COMPUTED_VALUE"""),758.0)</f>
        <v>758</v>
      </c>
      <c r="Q55" s="1"/>
      <c r="R55" s="1"/>
      <c r="S55" s="1"/>
      <c r="T55" s="1"/>
      <c r="U55" s="1" t="str">
        <f>IFERROR(__xludf.DUMMYFUNCTION("""COMPUTED_VALUE"""),"Переменно-влажные леса (Сочи)")</f>
        <v>Переменно-влажные леса (Сочи)</v>
      </c>
      <c r="V55" s="1">
        <f>IFERROR(__xludf.DUMMYFUNCTION("""COMPUTED_VALUE"""),1054.0)</f>
        <v>1054</v>
      </c>
      <c r="W55" s="1" t="str">
        <f>IFERROR(__xludf.DUMMYFUNCTION("""COMPUTED_VALUE"""),"Туризм. Развитие туризма в России")</f>
        <v>Туризм. Развитие туризма в России</v>
      </c>
      <c r="X55" s="1">
        <f>IFERROR(__xludf.DUMMYFUNCTION("""COMPUTED_VALUE"""),1156.0)</f>
        <v>1156</v>
      </c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 t="str">
        <f>IFERROR(__xludf.DUMMYFUNCTION("""COMPUTED_VALUE"""),"География речного транспорта. Основные водные магистрали")</f>
        <v>География речного транспорта. Основные водные магистрали</v>
      </c>
      <c r="P56" s="1">
        <f>IFERROR(__xludf.DUMMYFUNCTION("""COMPUTED_VALUE"""),759.0)</f>
        <v>759</v>
      </c>
      <c r="Q56" s="1"/>
      <c r="R56" s="1"/>
      <c r="S56" s="1"/>
      <c r="T56" s="1"/>
      <c r="U56" s="1" t="str">
        <f>IFERROR(__xludf.DUMMYFUNCTION("""COMPUTED_VALUE"""),"Климат Камчатки")</f>
        <v>Климат Камчатки</v>
      </c>
      <c r="V56" s="1">
        <f>IFERROR(__xludf.DUMMYFUNCTION("""COMPUTED_VALUE"""),1055.0)</f>
        <v>1055</v>
      </c>
      <c r="W56" s="1" t="str">
        <f>IFERROR(__xludf.DUMMYFUNCTION("""COMPUTED_VALUE"""),"Растениеводство - технические культуры")</f>
        <v>Растениеводство - технические культуры</v>
      </c>
      <c r="X56" s="1">
        <f>IFERROR(__xludf.DUMMYFUNCTION("""COMPUTED_VALUE"""),1157.0)</f>
        <v>1157</v>
      </c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 t="str">
        <f>IFERROR(__xludf.DUMMYFUNCTION("""COMPUTED_VALUE"""),"География трубопроводного транспорта")</f>
        <v>География трубопроводного транспорта</v>
      </c>
      <c r="P57" s="1">
        <f>IFERROR(__xludf.DUMMYFUNCTION("""COMPUTED_VALUE"""),760.0)</f>
        <v>760</v>
      </c>
      <c r="Q57" s="1"/>
      <c r="R57" s="1"/>
      <c r="S57" s="1"/>
      <c r="T57" s="1"/>
      <c r="U57" s="1" t="str">
        <f>IFERROR(__xludf.DUMMYFUNCTION("""COMPUTED_VALUE"""),"Субтропический климатчиеский пояс с равномерным увлажнением на территории России")</f>
        <v>Субтропический климатчиеский пояс с равномерным увлажнением на территории России</v>
      </c>
      <c r="V57" s="1">
        <f>IFERROR(__xludf.DUMMYFUNCTION("""COMPUTED_VALUE"""),1056.0)</f>
        <v>1056</v>
      </c>
      <c r="W57" s="1" t="str">
        <f>IFERROR(__xludf.DUMMYFUNCTION("""COMPUTED_VALUE"""),"Авиастроение, факторы размещения предприятий и центры")</f>
        <v>Авиастроение, факторы размещения предприятий и центры</v>
      </c>
      <c r="X57" s="1">
        <f>IFERROR(__xludf.DUMMYFUNCTION("""COMPUTED_VALUE"""),1158.0)</f>
        <v>1158</v>
      </c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 t="str">
        <f>IFERROR(__xludf.DUMMYFUNCTION("""COMPUTED_VALUE"""),"География морского транспорта. Основные международные магистрали, Крупнейшие порты мира")</f>
        <v>География морского транспорта. Основные международные магистрали, Крупнейшие порты мира</v>
      </c>
      <c r="P58" s="1">
        <f>IFERROR(__xludf.DUMMYFUNCTION("""COMPUTED_VALUE"""),761.0)</f>
        <v>761</v>
      </c>
      <c r="Q58" s="1"/>
      <c r="R58" s="1"/>
      <c r="S58" s="1"/>
      <c r="T58" s="1"/>
      <c r="U58" s="1" t="str">
        <f>IFERROR(__xludf.DUMMYFUNCTION("""COMPUTED_VALUE"""),"Субтропический средиземноморский климат на территории России")</f>
        <v>Субтропический средиземноморский климат на территории России</v>
      </c>
      <c r="V58" s="1">
        <f>IFERROR(__xludf.DUMMYFUNCTION("""COMPUTED_VALUE"""),1057.0)</f>
        <v>1057</v>
      </c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 t="str">
        <f>IFERROR(__xludf.DUMMYFUNCTION("""COMPUTED_VALUE"""),"Международные экономические отношения.Мировой рынок. Международные экономические связи")</f>
        <v>Международные экономические отношения.Мировой рынок. Международные экономические связи</v>
      </c>
      <c r="P59" s="1">
        <f>IFERROR(__xludf.DUMMYFUNCTION("""COMPUTED_VALUE"""),762.0)</f>
        <v>762</v>
      </c>
      <c r="Q59" s="1"/>
      <c r="R59" s="1"/>
      <c r="S59" s="1"/>
      <c r="T59" s="1"/>
      <c r="U59" s="1" t="str">
        <f>IFERROR(__xludf.DUMMYFUNCTION("""COMPUTED_VALUE"""),"Особенности высотной поясности в горных системах России")</f>
        <v>Особенности высотной поясности в горных системах России</v>
      </c>
      <c r="V59" s="1">
        <f>IFERROR(__xludf.DUMMYFUNCTION("""COMPUTED_VALUE"""),1058.0)</f>
        <v>1058</v>
      </c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 t="str">
        <f>IFERROR(__xludf.DUMMYFUNCTION("""COMPUTED_VALUE"""),"Международные организации ( региональные, политические и отраслевые союзы)")</f>
        <v>Международные организации ( региональные, политические и отраслевые союзы)</v>
      </c>
      <c r="P60" s="1">
        <f>IFERROR(__xludf.DUMMYFUNCTION("""COMPUTED_VALUE"""),763.0)</f>
        <v>763</v>
      </c>
      <c r="Q60" s="1"/>
      <c r="R60" s="1"/>
      <c r="S60" s="1"/>
      <c r="T60" s="1"/>
      <c r="U60" s="1" t="str">
        <f>IFERROR(__xludf.DUMMYFUNCTION("""COMPUTED_VALUE"""),"Растительный и животный мир")</f>
        <v>Растительный и животный мир</v>
      </c>
      <c r="V60" s="1">
        <f>IFERROR(__xludf.DUMMYFUNCTION("""COMPUTED_VALUE"""),1059.0)</f>
        <v>1059</v>
      </c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 t="str">
        <f>IFERROR(__xludf.DUMMYFUNCTION("""COMPUTED_VALUE"""),"Международная интеграция и глобализация")</f>
        <v>Международная интеграция и глобализация</v>
      </c>
      <c r="P61" s="1">
        <f>IFERROR(__xludf.DUMMYFUNCTION("""COMPUTED_VALUE"""),764.0)</f>
        <v>764</v>
      </c>
      <c r="Q61" s="1"/>
      <c r="R61" s="1"/>
      <c r="S61" s="1"/>
      <c r="T61" s="1"/>
      <c r="U61" s="1" t="str">
        <f>IFERROR(__xludf.DUMMYFUNCTION("""COMPUTED_VALUE"""),"Заповедники и другие охраняемые территории")</f>
        <v>Заповедники и другие охраняемые территории</v>
      </c>
      <c r="V61" s="1">
        <f>IFERROR(__xludf.DUMMYFUNCTION("""COMPUTED_VALUE"""),1060.0)</f>
        <v>1060</v>
      </c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 t="str">
        <f>IFERROR(__xludf.DUMMYFUNCTION("""COMPUTED_VALUE"""),"Преимущества и недостатки отдельных видов
транспорта")</f>
        <v>Преимущества и недостатки отдельных видов
транспорта</v>
      </c>
      <c r="P62" s="1">
        <f>IFERROR(__xludf.DUMMYFUNCTION("""COMPUTED_VALUE"""),765.0)</f>
        <v>765</v>
      </c>
      <c r="Q62" s="1"/>
      <c r="R62" s="1"/>
      <c r="S62" s="1"/>
      <c r="T62" s="1"/>
      <c r="U62" s="1" t="str">
        <f>IFERROR(__xludf.DUMMYFUNCTION("""COMPUTED_VALUE"""),"Экономические районы России")</f>
        <v>Экономические районы России</v>
      </c>
      <c r="V62" s="1">
        <f>IFERROR(__xludf.DUMMYFUNCTION("""COMPUTED_VALUE"""),1061.0)</f>
        <v>1061</v>
      </c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 t="str">
        <f>IFERROR(__xludf.DUMMYFUNCTION("""COMPUTED_VALUE"""),"Демографический переход")</f>
        <v>Демографический переход</v>
      </c>
      <c r="P63" s="1">
        <f>IFERROR(__xludf.DUMMYFUNCTION("""COMPUTED_VALUE"""),766.0)</f>
        <v>766</v>
      </c>
      <c r="Q63" s="1"/>
      <c r="R63" s="1"/>
      <c r="S63" s="1"/>
      <c r="T63" s="1"/>
      <c r="U63" s="1" t="str">
        <f>IFERROR(__xludf.DUMMYFUNCTION("""COMPUTED_VALUE"""),"Районы и крупные регионы России, их характеристики и особенности")</f>
        <v>Районы и крупные регионы России, их характеристики и особенности</v>
      </c>
      <c r="V63" s="1">
        <f>IFERROR(__xludf.DUMMYFUNCTION("""COMPUTED_VALUE"""),1062.0)</f>
        <v>1062</v>
      </c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 t="str">
        <f>IFERROR(__xludf.DUMMYFUNCTION("""COMPUTED_VALUE"""),"Центральный экономический район")</f>
        <v>Центральный экономический район</v>
      </c>
      <c r="V64" s="1">
        <f>IFERROR(__xludf.DUMMYFUNCTION("""COMPUTED_VALUE"""),1063.0)</f>
        <v>1063</v>
      </c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 t="str">
        <f>IFERROR(__xludf.DUMMYFUNCTION("""COMPUTED_VALUE""")," Северо-Западный экономический район")</f>
        <v> Северо-Западный экономический район</v>
      </c>
      <c r="V65" s="1">
        <f>IFERROR(__xludf.DUMMYFUNCTION("""COMPUTED_VALUE"""),1064.0)</f>
        <v>1064</v>
      </c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 t="str">
        <f>IFERROR(__xludf.DUMMYFUNCTION("""COMPUTED_VALUE"""),"Европейский Север")</f>
        <v>Европейский Север</v>
      </c>
      <c r="V66" s="1">
        <f>IFERROR(__xludf.DUMMYFUNCTION("""COMPUTED_VALUE"""),1065.0)</f>
        <v>1065</v>
      </c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 t="str">
        <f>IFERROR(__xludf.DUMMYFUNCTION("""COMPUTED_VALUE"""),"Европейский Юг")</f>
        <v>Европейский Юг</v>
      </c>
      <c r="V67" s="1">
        <f>IFERROR(__xludf.DUMMYFUNCTION("""COMPUTED_VALUE"""),1066.0)</f>
        <v>1066</v>
      </c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 t="str">
        <f>IFERROR(__xludf.DUMMYFUNCTION("""COMPUTED_VALUE"""),"Поволжье")</f>
        <v>Поволжье</v>
      </c>
      <c r="V68" s="1">
        <f>IFERROR(__xludf.DUMMYFUNCTION("""COMPUTED_VALUE"""),1067.0)</f>
        <v>1067</v>
      </c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 t="str">
        <f>IFERROR(__xludf.DUMMYFUNCTION("""COMPUTED_VALUE"""),"Волго-Вятской экономический район ")</f>
        <v>Волго-Вятской экономический район </v>
      </c>
      <c r="V69" s="1">
        <f>IFERROR(__xludf.DUMMYFUNCTION("""COMPUTED_VALUE"""),1068.0)</f>
        <v>1068</v>
      </c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 t="str">
        <f>IFERROR(__xludf.DUMMYFUNCTION("""COMPUTED_VALUE"""),"Урал")</f>
        <v>Урал</v>
      </c>
      <c r="V70" s="1">
        <f>IFERROR(__xludf.DUMMYFUNCTION("""COMPUTED_VALUE"""),1069.0)</f>
        <v>1069</v>
      </c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 t="str">
        <f>IFERROR(__xludf.DUMMYFUNCTION("""COMPUTED_VALUE"""),"Западная Сибирь")</f>
        <v>Западная Сибирь</v>
      </c>
      <c r="V71" s="1">
        <f>IFERROR(__xludf.DUMMYFUNCTION("""COMPUTED_VALUE"""),1070.0)</f>
        <v>1070</v>
      </c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 t="str">
        <f>IFERROR(__xludf.DUMMYFUNCTION("""COMPUTED_VALUE"""),"Восточная Сибирь")</f>
        <v>Восточная Сибирь</v>
      </c>
      <c r="V72" s="1">
        <f>IFERROR(__xludf.DUMMYFUNCTION("""COMPUTED_VALUE"""),1071.0)</f>
        <v>1071</v>
      </c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 t="str">
        <f>IFERROR(__xludf.DUMMYFUNCTION("""COMPUTED_VALUE"""),"Дальний Восток")</f>
        <v>Дальний Восток</v>
      </c>
      <c r="V73" s="1">
        <f>IFERROR(__xludf.DUMMYFUNCTION("""COMPUTED_VALUE"""),1072.0)</f>
        <v>1072</v>
      </c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 t="str">
        <f>IFERROR(__xludf.DUMMYFUNCTION("""COMPUTED_VALUE"""),"Центрально-Черноземный район")</f>
        <v>Центрально-Черноземный район</v>
      </c>
      <c r="V74" s="1">
        <f>IFERROR(__xludf.DUMMYFUNCTION("""COMPUTED_VALUE"""),1073.0)</f>
        <v>1073</v>
      </c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