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IFERROR(__xludf.DUMMYFUNCTION("IMPORTRANGE(""https://docs.google.com/spreadsheets/d/1UPx6B44t1Te-3g2YDT3uRFD6HuoA0lXICoT63V7huQQ/edit"",""УМИТЫ!A:AB"")"),"Общая химия")</f>
        <v>Общая химия</v>
      </c>
      <c r="B1" s="1"/>
      <c r="C1" s="1" t="str">
        <f>IFERROR(__xludf.DUMMYFUNCTION("""COMPUTED_VALUE"""),"Неметаллы")</f>
        <v>Неметаллы</v>
      </c>
      <c r="D1" s="1"/>
      <c r="E1" s="1" t="str">
        <f>IFERROR(__xludf.DUMMYFUNCTION("""COMPUTED_VALUE"""),"Металлы")</f>
        <v>Металлы</v>
      </c>
      <c r="F1" s="1"/>
      <c r="G1" s="1" t="str">
        <f>IFERROR(__xludf.DUMMYFUNCTION("""COMPUTED_VALUE"""),"Бинарные кислородсодержащие соединения")</f>
        <v>Бинарные кислородсодержащие соединения</v>
      </c>
      <c r="H1" s="1"/>
      <c r="I1" s="1" t="str">
        <f>IFERROR(__xludf.DUMMYFUNCTION("""COMPUTED_VALUE"""),"Гидроксиды металлов")</f>
        <v>Гидроксиды металлов</v>
      </c>
      <c r="J1" s="1"/>
      <c r="K1" s="1" t="str">
        <f>IFERROR(__xludf.DUMMYFUNCTION("""COMPUTED_VALUE"""),"Кислоты")</f>
        <v>Кислоты</v>
      </c>
      <c r="L1" s="1"/>
      <c r="M1" s="1" t="str">
        <f>IFERROR(__xludf.DUMMYFUNCTION("""COMPUTED_VALUE"""),"Соли")</f>
        <v>Соли</v>
      </c>
      <c r="N1" s="1"/>
      <c r="O1" s="1" t="str">
        <f>IFERROR(__xludf.DUMMYFUNCTION("""COMPUTED_VALUE"""),"Общая теория органической химии")</f>
        <v>Общая теория органической химии</v>
      </c>
      <c r="P1" s="1"/>
      <c r="Q1" s="1" t="str">
        <f>IFERROR(__xludf.DUMMYFUNCTION("""COMPUTED_VALUE"""),"Углеводороды")</f>
        <v>Углеводороды</v>
      </c>
      <c r="R1" s="1"/>
      <c r="S1" s="1" t="str">
        <f>IFERROR(__xludf.DUMMYFUNCTION("""COMPUTED_VALUE"""),"Функциональные производные углеводородов")</f>
        <v>Функциональные производные углеводородов</v>
      </c>
      <c r="T1" s="1"/>
      <c r="U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V1" s="1"/>
      <c r="W1" s="1" t="str">
        <f>IFERROR(__xludf.DUMMYFUNCTION("""COMPUTED_VALUE"""),"Полимеры")</f>
        <v>Полимеры</v>
      </c>
      <c r="X1" s="1"/>
      <c r="Y1" s="1" t="str">
        <f>IFERROR(__xludf.DUMMYFUNCTION("""COMPUTED_VALUE"""),"Химия и жизнь")</f>
        <v>Химия и жизнь</v>
      </c>
      <c r="Z1" s="1"/>
      <c r="AA1" s="1" t="str">
        <f>IFERROR(__xludf.DUMMYFUNCTION("""COMPUTED_VALUE"""),"Расчетные задачи")</f>
        <v>Расчетные задачи</v>
      </c>
      <c r="AB1" s="1"/>
    </row>
    <row r="2">
      <c r="A2" s="1" t="str">
        <f>IFERROR(__xludf.DUMMYFUNCTION("""COMPUTED_VALUE"""),"Атом и его строение")</f>
        <v>Атом и его строение</v>
      </c>
      <c r="B2" s="1">
        <f>IFERROR(__xludf.DUMMYFUNCTION("""COMPUTED_VALUE"""),1.0)</f>
        <v>1</v>
      </c>
      <c r="C2" s="1" t="str">
        <f>IFERROR(__xludf.DUMMYFUNCTION("""COMPUTED_VALUE"""),"Местонахождение неметаллов в Периодической системе Д.И. Менделеева и особенности строения их атомов")</f>
        <v>Местонахождение неметаллов в Периодической системе Д.И. Менделеева и особенности строения их атомов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2" s="1">
        <f>IFERROR(__xludf.DUMMYFUNCTION("""COMPUTED_VALUE"""),301.0)</f>
        <v>301</v>
      </c>
      <c r="I2" s="1" t="str">
        <f>IFERROR(__xludf.DUMMYFUNCTION("""COMPUTED_VALUE"""),"Умение различать щелочи и нерастворимые гидроксиды металлов ")</f>
        <v>Умение различать щелочи и нерастворимые гидроксиды металлов </v>
      </c>
      <c r="J2" s="1">
        <f>IFERROR(__xludf.DUMMYFUNCTION("""COMPUTED_VALUE"""),401.0)</f>
        <v>401</v>
      </c>
      <c r="K2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L2" s="1">
        <f>IFERROR(__xludf.DUMMYFUNCTION("""COMPUTED_VALUE"""),501.0)</f>
        <v>501</v>
      </c>
      <c r="M2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N2" s="1">
        <f>IFERROR(__xludf.DUMMYFUNCTION("""COMPUTED_VALUE"""),601.0)</f>
        <v>601</v>
      </c>
      <c r="O2" s="1" t="str">
        <f>IFERROR(__xludf.DUMMYFUNCTION("""COMPUTED_VALUE"""),"Теория строения органических веществ А.М. Бутлерова")</f>
        <v>Теория строения органических веществ А.М. Бутлерова</v>
      </c>
      <c r="P2" s="1">
        <f>IFERROR(__xludf.DUMMYFUNCTION("""COMPUTED_VALUE"""),701.0)</f>
        <v>701</v>
      </c>
      <c r="Q2" s="1" t="str">
        <f>IFERROR(__xludf.DUMMYFUNCTION("""COMPUTED_VALUE"""),"Умение определять алканы")</f>
        <v>Умение определять алканы</v>
      </c>
      <c r="R2" s="1">
        <f>IFERROR(__xludf.DUMMYFUNCTION("""COMPUTED_VALUE"""),801.0)</f>
        <v>801</v>
      </c>
      <c r="S2" s="1" t="str">
        <f>IFERROR(__xludf.DUMMYFUNCTION("""COMPUTED_VALUE"""),"Умение различать одноатомные и многоатомные спирты")</f>
        <v>Умение различать одноатомные и многоатомные спирты</v>
      </c>
      <c r="T2" s="1">
        <f>IFERROR(__xludf.DUMMYFUNCTION("""COMPUTED_VALUE"""),901.0)</f>
        <v>901</v>
      </c>
      <c r="U2" s="1" t="str">
        <f>IFERROR(__xludf.DUMMYFUNCTION("""COMPUTED_VALUE"""),"Умение определять амины")</f>
        <v>Умение определять амины</v>
      </c>
      <c r="V2" s="1">
        <f>IFERROR(__xludf.DUMMYFUNCTION("""COMPUTED_VALUE"""),1001.0)</f>
        <v>1001</v>
      </c>
      <c r="W2" s="1" t="str">
        <f>IFERROR(__xludf.DUMMYFUNCTION("""COMPUTED_VALUE"""),"Механизмы полимеризации и поликонденсации. Мономер, полимер, структурное звено и степень полимеризации")</f>
        <v>Механизмы полимеризации и поликонденсации. Мономер, полимер, структурное звено и степень полимеризации</v>
      </c>
      <c r="X2" s="1">
        <f>IFERROR(__xludf.DUMMYFUNCTION("""COMPUTED_VALUE"""),1101.0)</f>
        <v>1101</v>
      </c>
      <c r="Y2" s="1" t="str">
        <f>IFERROR(__xludf.DUMMYFUNCTION("""COMPUTED_VALUE"""),"Качественные реакции на неорганические ионы")</f>
        <v>Качественные реакции на неорганические ионы</v>
      </c>
      <c r="Z2" s="1">
        <f>IFERROR(__xludf.DUMMYFUNCTION("""COMPUTED_VALUE"""),1208.0)</f>
        <v>1208</v>
      </c>
      <c r="AA2" s="1" t="str">
        <f>IFERROR(__xludf.DUMMYFUNCTION("""COMPUTED_VALUE"""),"Закон сохранения массы")</f>
        <v>Закон сохранения массы</v>
      </c>
      <c r="AB2" s="1">
        <f>IFERROR(__xludf.DUMMYFUNCTION("""COMPUTED_VALUE"""),1401.0)</f>
        <v>1401</v>
      </c>
    </row>
    <row r="3">
      <c r="A3" s="1" t="str">
        <f>IFERROR(__xludf.DUMMYFUNCTION("""COMPUTED_VALUE"""),"Изотопы химических элементов")</f>
        <v>Изотопы химических элементов</v>
      </c>
      <c r="B3" s="1">
        <f>IFERROR(__xludf.DUMMYFUNCTION("""COMPUTED_VALUE"""),2.0)</f>
        <v>2</v>
      </c>
      <c r="C3" s="1" t="str">
        <f>IFERROR(__xludf.DUMMYFUNCTION("""COMPUTED_VALUE"""),"Химические и физические свойства водорода")</f>
        <v>Химические и 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IFERROR(__xludf.DUMMYFUNCTION("""COMPUTED_VALUE"""),"Умение определять солеобразующие (основные, амфотерные, кислотные) и несолеобразующие оксиды")</f>
        <v>Умение определять солеобразующие (основные, амфотерные, кислотные) и несолеобразующие оксиды</v>
      </c>
      <c r="H3" s="1">
        <f>IFERROR(__xludf.DUMMYFUNCTION("""COMPUTED_VALUE"""),302.0)</f>
        <v>302</v>
      </c>
      <c r="I3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J3" s="1">
        <f>IFERROR(__xludf.DUMMYFUNCTION("""COMPUTED_VALUE"""),402.0)</f>
        <v>402</v>
      </c>
      <c r="K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L3" s="1">
        <f>IFERROR(__xludf.DUMMYFUNCTION("""COMPUTED_VALUE"""),502.0)</f>
        <v>502</v>
      </c>
      <c r="M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N3" s="1">
        <f>IFERROR(__xludf.DUMMYFUNCTION("""COMPUTED_VALUE"""),602.0)</f>
        <v>602</v>
      </c>
      <c r="O3" s="1" t="str">
        <f>IFERROR(__xludf.DUMMYFUNCTION("""COMPUTED_VALUE"""),"Структурные формулы органических соединений")</f>
        <v>Структурные формулы органических соединений</v>
      </c>
      <c r="P3" s="1">
        <f>IFERROR(__xludf.DUMMYFUNCTION("""COMPUTED_VALUE"""),702.0)</f>
        <v>702</v>
      </c>
      <c r="Q3" s="1" t="str">
        <f>IFERROR(__xludf.DUMMYFUNCTION("""COMPUTED_VALUE"""),"Химические свойства алканов (реакции замещения)")</f>
        <v>Химические свойства алканов (реакции замещения)</v>
      </c>
      <c r="R3" s="1">
        <f>IFERROR(__xludf.DUMMYFUNCTION("""COMPUTED_VALUE"""),802.0)</f>
        <v>802</v>
      </c>
      <c r="S3" s="1" t="str">
        <f>IFERROR(__xludf.DUMMYFUNCTION("""COMPUTED_VALUE"""),"Особые химические свойства многоатомных спиртов")</f>
        <v>Особые химические свойства многоатомных спиртов</v>
      </c>
      <c r="T3" s="1">
        <f>IFERROR(__xludf.DUMMYFUNCTION("""COMPUTED_VALUE"""),902.0)</f>
        <v>902</v>
      </c>
      <c r="U3" s="1" t="str">
        <f>IFERROR(__xludf.DUMMYFUNCTION("""COMPUTED_VALUE"""),"Умение различать первичные, вторичные и третичные амины")</f>
        <v>Умение различать первичные, вторичные и третичные амины</v>
      </c>
      <c r="V3" s="1">
        <f>IFERROR(__xludf.DUMMYFUNCTION("""COMPUTED_VALUE"""),1002.0)</f>
        <v>1002</v>
      </c>
      <c r="W3" s="1" t="str">
        <f>IFERROR(__xludf.DUMMYFUNCTION("""COMPUTED_VALUE"""),"Неорганические волокна")</f>
        <v>Неорганические волокна</v>
      </c>
      <c r="X3" s="1">
        <f>IFERROR(__xludf.DUMMYFUNCTION("""COMPUTED_VALUE"""),1103.0)</f>
        <v>1103</v>
      </c>
      <c r="Y3" s="1" t="str">
        <f>IFERROR(__xludf.DUMMYFUNCTION("""COMPUTED_VALUE"""),"Правила работы в лаборатории")</f>
        <v>Правила работы в лаборатории</v>
      </c>
      <c r="Z3" s="1">
        <f>IFERROR(__xludf.DUMMYFUNCTION("""COMPUTED_VALUE"""),1232.0)</f>
        <v>1232</v>
      </c>
      <c r="AA3" s="1" t="str">
        <f>IFERROR(__xludf.DUMMYFUNCTION("""COMPUTED_VALUE"""),"Понятие атомной массы")</f>
        <v>Понятие атомной массы</v>
      </c>
      <c r="AB3" s="1">
        <f>IFERROR(__xludf.DUMMYFUNCTION("""COMPUTED_VALUE"""),1402.0)</f>
        <v>1402</v>
      </c>
    </row>
    <row r="4">
      <c r="A4" s="1" t="str">
        <f>IFERROR(__xludf.DUMMYFUNCTION("""COMPUTED_VALUE"""),"Строение электронных оболочек атомов. Порядок заполнения орбиталей электронами")</f>
        <v>Строение электронных оболочек атомов. Порядок заполнения орбиталей электронами</v>
      </c>
      <c r="B4" s="1">
        <f>IFERROR(__xludf.DUMMYFUNCTION("""COMPUTED_VALUE"""),4.0)</f>
        <v>4</v>
      </c>
      <c r="C4" s="1" t="str">
        <f>IFERROR(__xludf.DUMMYFUNCTION("""COMPUTED_VALUE"""),"Химические и физические свойства углерода")</f>
        <v>Химические и физические свойства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основных оксидов")</f>
        <v>Химические свойства основных оксидов</v>
      </c>
      <c r="H4" s="1">
        <f>IFERROR(__xludf.DUMMYFUNCTION("""COMPUTED_VALUE"""),303.0)</f>
        <v>303</v>
      </c>
      <c r="I4" s="1" t="str">
        <f>IFERROR(__xludf.DUMMYFUNCTION("""COMPUTED_VALUE"""),"Умение определять однокислотные и многокислотные основания")</f>
        <v>Умение определять однокислотные и многокислотные основания</v>
      </c>
      <c r="J4" s="1">
        <f>IFERROR(__xludf.DUMMYFUNCTION("""COMPUTED_VALUE"""),403.0)</f>
        <v>403</v>
      </c>
      <c r="K4" s="1" t="str">
        <f>IFERROR(__xludf.DUMMYFUNCTION("""COMPUTED_VALUE"""),"Получение, физические и химические свойства серной кислоты")</f>
        <v>Получение, физические и химические свойства серной кислоты</v>
      </c>
      <c r="L4" s="1">
        <f>IFERROR(__xludf.DUMMYFUNCTION("""COMPUTED_VALUE"""),503.0)</f>
        <v>503</v>
      </c>
      <c r="M4" s="1" t="str">
        <f>IFERROR(__xludf.DUMMYFUNCTION("""COMPUTED_VALUE"""),"Соли галогеноводородных кислот и их свойства и получение")</f>
        <v>Соли галогеноводородных кислот и их свойства и получение</v>
      </c>
      <c r="N4" s="1">
        <f>IFERROR(__xludf.DUMMYFUNCTION("""COMPUTED_VALUE"""),603.0)</f>
        <v>603</v>
      </c>
      <c r="O4" s="1" t="str">
        <f>IFERROR(__xludf.DUMMYFUNCTION("""COMPUTED_VALUE"""),"Понятие изомерии")</f>
        <v>Понятие изомерии</v>
      </c>
      <c r="P4" s="1">
        <f>IFERROR(__xludf.DUMMYFUNCTION("""COMPUTED_VALUE"""),703.0)</f>
        <v>703</v>
      </c>
      <c r="Q4" s="1" t="str">
        <f>IFERROR(__xludf.DUMMYFUNCTION("""COMPUTED_VALUE"""),"Строение молекул алканов")</f>
        <v>Строение молекул алканов</v>
      </c>
      <c r="R4" s="1">
        <f>IFERROR(__xludf.DUMMYFUNCTION("""COMPUTED_VALUE"""),803.0)</f>
        <v>803</v>
      </c>
      <c r="S4" s="1" t="str">
        <f>IFERROR(__xludf.DUMMYFUNCTION("""COMPUTED_VALUE"""),"Умение различать первичные, вторичные и третичные спирты")</f>
        <v>Умение различать первичные, вторичные и третичные спирты</v>
      </c>
      <c r="T4" s="1">
        <f>IFERROR(__xludf.DUMMYFUNCTION("""COMPUTED_VALUE"""),903.0)</f>
        <v>903</v>
      </c>
      <c r="U4" s="1" t="str">
        <f>IFERROR(__xludf.DUMMYFUNCTION("""COMPUTED_VALUE"""),"Химические свойства аминов")</f>
        <v>Химические свойства аминов</v>
      </c>
      <c r="V4" s="1">
        <f>IFERROR(__xludf.DUMMYFUNCTION("""COMPUTED_VALUE"""),1003.0)</f>
        <v>1003</v>
      </c>
      <c r="W4" s="1" t="str">
        <f>IFERROR(__xludf.DUMMYFUNCTION("""COMPUTED_VALUE"""),"Природные волокна")</f>
        <v>Природные волокна</v>
      </c>
      <c r="X4" s="1">
        <f>IFERROR(__xludf.DUMMYFUNCTION("""COMPUTED_VALUE"""),1104.0)</f>
        <v>1104</v>
      </c>
      <c r="Y4" s="1" t="str">
        <f>IFERROR(__xludf.DUMMYFUNCTION("""COMPUTED_VALUE"""),"Лабораторная посуда и оборудование")</f>
        <v>Лабораторная посуда и оборудование</v>
      </c>
      <c r="Z4" s="1">
        <f>IFERROR(__xludf.DUMMYFUNCTION("""COMPUTED_VALUE"""),1233.0)</f>
        <v>1233</v>
      </c>
      <c r="AA4" s="1" t="str">
        <f>IFERROR(__xludf.DUMMYFUNCTION("""COMPUTED_VALUE"""),"Закон объёмных отношений")</f>
        <v>Закон объёмных отношений</v>
      </c>
      <c r="AB4" s="1">
        <f>IFERROR(__xludf.DUMMYFUNCTION("""COMPUTED_VALUE"""),1403.0)</f>
        <v>1403</v>
      </c>
    </row>
    <row r="5">
      <c r="A5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5" s="1">
        <f>IFERROR(__xludf.DUMMYFUNCTION("""COMPUTED_VALUE"""),5.0)</f>
        <v>5</v>
      </c>
      <c r="C5" s="1" t="str">
        <f>IFERROR(__xludf.DUMMYFUNCTION("""COMPUTED_VALUE"""),"Химические и физические свойства кислорода и озона")</f>
        <v>Химические и физические свойства кислорода и озона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IFERROR(__xludf.DUMMYFUNCTION("""COMPUTED_VALUE"""),"Химические свойства кислотных оксидов")</f>
        <v>Химические свойства кислотных оксидов</v>
      </c>
      <c r="H5" s="1">
        <f>IFERROR(__xludf.DUMMYFUNCTION("""COMPUTED_VALUE"""),304.0)</f>
        <v>304</v>
      </c>
      <c r="I5" s="1" t="str">
        <f>IFERROR(__xludf.DUMMYFUNCTION("""COMPUTED_VALUE"""),"Умение различать основные и амфотерные гидроксиды")</f>
        <v>Умение различать основные и амфотерные гидроксиды</v>
      </c>
      <c r="J5" s="1">
        <f>IFERROR(__xludf.DUMMYFUNCTION("""COMPUTED_VALUE"""),404.0)</f>
        <v>404</v>
      </c>
      <c r="K5" s="1" t="str">
        <f>IFERROR(__xludf.DUMMYFUNCTION("""COMPUTED_VALUE"""),"Получение, физические и химические свойства азотной кислоты")</f>
        <v>Получение, физические и химические свойства азотной кислоты</v>
      </c>
      <c r="L5" s="1">
        <f>IFERROR(__xludf.DUMMYFUNCTION("""COMPUTED_VALUE"""),504.0)</f>
        <v>504</v>
      </c>
      <c r="M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N5" s="1">
        <f>IFERROR(__xludf.DUMMYFUNCTION("""COMPUTED_VALUE"""),604.0)</f>
        <v>604</v>
      </c>
      <c r="O5" s="1" t="str">
        <f>IFERROR(__xludf.DUMMYFUNCTION("""COMPUTED_VALUE"""),"Номенклатура органических соединений")</f>
        <v>Номенклатура органических соединений</v>
      </c>
      <c r="P5" s="1">
        <f>IFERROR(__xludf.DUMMYFUNCTION("""COMPUTED_VALUE"""),704.0)</f>
        <v>704</v>
      </c>
      <c r="Q5" s="1" t="str">
        <f>IFERROR(__xludf.DUMMYFUNCTION("""COMPUTED_VALUE"""),"Тип гибридизации атомов углерода в молекулах алканов")</f>
        <v>Тип гибридизации атомов углерода в молекулах алканов</v>
      </c>
      <c r="R5" s="1">
        <f>IFERROR(__xludf.DUMMYFUNCTION("""COMPUTED_VALUE"""),804.0)</f>
        <v>804</v>
      </c>
      <c r="S5" s="1" t="str">
        <f>IFERROR(__xludf.DUMMYFUNCTION("""COMPUTED_VALUE"""),"Умение различать предельные, непредельные, ароматические спирты")</f>
        <v>Умение различать предельные, непредельные, ароматические спирты</v>
      </c>
      <c r="T5" s="1">
        <f>IFERROR(__xludf.DUMMYFUNCTION("""COMPUTED_VALUE"""),904.0)</f>
        <v>904</v>
      </c>
      <c r="U5" s="1" t="str">
        <f>IFERROR(__xludf.DUMMYFUNCTION("""COMPUTED_VALUE"""),"Строение молекул аминов")</f>
        <v>Строение молекул аминов</v>
      </c>
      <c r="V5" s="1">
        <f>IFERROR(__xludf.DUMMYFUNCTION("""COMPUTED_VALUE"""),1004.0)</f>
        <v>1004</v>
      </c>
      <c r="W5" s="1" t="str">
        <f>IFERROR(__xludf.DUMMYFUNCTION("""COMPUTED_VALUE"""),"Синтетические волокна")</f>
        <v>Синтетические волокна</v>
      </c>
      <c r="X5" s="1">
        <f>IFERROR(__xludf.DUMMYFUNCTION("""COMPUTED_VALUE"""),1105.0)</f>
        <v>1105</v>
      </c>
      <c r="Y5" s="1" t="str">
        <f>IFERROR(__xludf.DUMMYFUNCTION("""COMPUTED_VALUE"""),"Правила безопасности при работе с веществами")</f>
        <v>Правила безопасности при работе с веществами</v>
      </c>
      <c r="Z5" s="1">
        <f>IFERROR(__xludf.DUMMYFUNCTION("""COMPUTED_VALUE"""),1234.0)</f>
        <v>1234</v>
      </c>
      <c r="AA5" s="1" t="str">
        <f>IFERROR(__xludf.DUMMYFUNCTION("""COMPUTED_VALUE"""),"Постоянная Авогадро")</f>
        <v>Постоянная Авогадро</v>
      </c>
      <c r="AB5" s="1">
        <f>IFERROR(__xludf.DUMMYFUNCTION("""COMPUTED_VALUE"""),1404.0)</f>
        <v>1404</v>
      </c>
    </row>
    <row r="6">
      <c r="A6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B6" s="1">
        <f>IFERROR(__xludf.DUMMYFUNCTION("""COMPUTED_VALUE"""),6.0)</f>
        <v>6</v>
      </c>
      <c r="C6" s="1" t="str">
        <f>IFERROR(__xludf.DUMMYFUNCTION("""COMPUTED_VALUE"""),"Химические и физические свойства кремния")</f>
        <v>Химические и физические свойства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IFERROR(__xludf.DUMMYFUNCTION("""COMPUTED_VALUE"""),"Химические свойства амфотерных оксидов")</f>
        <v>Химические свойства амфотерных оксидов</v>
      </c>
      <c r="H6" s="1">
        <f>IFERROR(__xludf.DUMMYFUNCTION("""COMPUTED_VALUE"""),305.0)</f>
        <v>305</v>
      </c>
      <c r="I6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J6" s="1">
        <f>IFERROR(__xludf.DUMMYFUNCTION("""COMPUTED_VALUE"""),405.0)</f>
        <v>405</v>
      </c>
      <c r="K6" s="1" t="str">
        <f>IFERROR(__xludf.DUMMYFUNCTION("""COMPUTED_VALUE"""),"Получение, физические и химические свойства угольной кислоты")</f>
        <v>Получение, физические и химические свойства угольной кислоты</v>
      </c>
      <c r="L6" s="1">
        <f>IFERROR(__xludf.DUMMYFUNCTION("""COMPUTED_VALUE"""),505.0)</f>
        <v>505</v>
      </c>
      <c r="M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N6" s="1">
        <f>IFERROR(__xludf.DUMMYFUNCTION("""COMPUTED_VALUE"""),605.0)</f>
        <v>605</v>
      </c>
      <c r="O6" s="1" t="str">
        <f>IFERROR(__xludf.DUMMYFUNCTION("""COMPUTED_VALUE"""),"Типы гибридизации атома углерода и его валентные состояния")</f>
        <v>Типы гибридизации атома углерода и его валентные состояния</v>
      </c>
      <c r="P6" s="1">
        <f>IFERROR(__xludf.DUMMYFUNCTION("""COMPUTED_VALUE"""),705.0)</f>
        <v>705</v>
      </c>
      <c r="Q6" s="1" t="str">
        <f>IFERROR(__xludf.DUMMYFUNCTION("""COMPUTED_VALUE"""),"Номенклатура алканов")</f>
        <v>Номенклатура алканов</v>
      </c>
      <c r="R6" s="1">
        <f>IFERROR(__xludf.DUMMYFUNCTION("""COMPUTED_VALUE"""),805.0)</f>
        <v>805</v>
      </c>
      <c r="S6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T6" s="1">
        <f>IFERROR(__xludf.DUMMYFUNCTION("""COMPUTED_VALUE"""),905.0)</f>
        <v>905</v>
      </c>
      <c r="U6" s="1" t="str">
        <f>IFERROR(__xludf.DUMMYFUNCTION("""COMPUTED_VALUE"""),"Тип гибридизации атомов углерода в молекулах аминов")</f>
        <v>Тип гибридизации атомов углерода в молекулах аминов</v>
      </c>
      <c r="V6" s="1">
        <f>IFERROR(__xludf.DUMMYFUNCTION("""COMPUTED_VALUE"""),1005.0)</f>
        <v>1005</v>
      </c>
      <c r="W6" s="1" t="str">
        <f>IFERROR(__xludf.DUMMYFUNCTION("""COMPUTED_VALUE"""),"Искусственные волокна")</f>
        <v>Искусственные волокна</v>
      </c>
      <c r="X6" s="1">
        <f>IFERROR(__xludf.DUMMYFUNCTION("""COMPUTED_VALUE"""),1106.0)</f>
        <v>1106</v>
      </c>
      <c r="Y6" s="1" t="str">
        <f>IFERROR(__xludf.DUMMYFUNCTION("""COMPUTED_VALUE"""),"Методы разделения смесей ")</f>
        <v>Методы разделения смесей </v>
      </c>
      <c r="Z6" s="1">
        <f>IFERROR(__xludf.DUMMYFUNCTION("""COMPUTED_VALUE"""),1235.0)</f>
        <v>1235</v>
      </c>
      <c r="AA6" s="1" t="str">
        <f>IFERROR(__xludf.DUMMYFUNCTION("""COMPUTED_VALUE""")," Закон Авогадро")</f>
        <v> Закон Авогадро</v>
      </c>
      <c r="AB6" s="1">
        <f>IFERROR(__xludf.DUMMYFUNCTION("""COMPUTED_VALUE"""),1405.0)</f>
        <v>1405</v>
      </c>
    </row>
    <row r="7">
      <c r="A7" s="1" t="str">
        <f>IFERROR(__xludf.DUMMYFUNCTION("""COMPUTED_VALUE"""),"Понятия электроотрицательности и энергии ионизации атомов химических элементов")</f>
        <v>Понятия электроотрицательности и энергии ионизации атомов химических элементов</v>
      </c>
      <c r="B7" s="1">
        <f>IFERROR(__xludf.DUMMYFUNCTION("""COMPUTED_VALUE"""),7.0)</f>
        <v>7</v>
      </c>
      <c r="C7" s="1" t="str">
        <f>IFERROR(__xludf.DUMMYFUNCTION("""COMPUTED_VALUE"""),"Химические и физические свойства фосфора")</f>
        <v>Химические и физические свойства фосфора</v>
      </c>
      <c r="D7" s="1">
        <f>IFERROR(__xludf.DUMMYFUNCTION("""COMPUTED_VALUE"""),106.0)</f>
        <v>106</v>
      </c>
      <c r="E7" s="1" t="str">
        <f>IFERROR(__xludf.DUMMYFUNCTION("""COMPUTED_VALUE"""),"Свойства щелочно-земельных металлов и их соединений (оксидов, гидроксидов, пероксидов)")</f>
        <v>Свойства щелочно-земельных металлов и их соединений (оксидов, гидроксидов, пероксидов)</v>
      </c>
      <c r="F7" s="1">
        <f>IFERROR(__xludf.DUMMYFUNCTION("""COMPUTED_VALUE"""),206.0)</f>
        <v>206</v>
      </c>
      <c r="G7" s="1" t="str">
        <f>IFERROR(__xludf.DUMMYFUNCTION("""COMPUTED_VALUE"""),"Химические свойства несолеобразующих оксидов")</f>
        <v>Химические свойства несолеобразующих оксидов</v>
      </c>
      <c r="H7" s="1">
        <f>IFERROR(__xludf.DUMMYFUNCTION("""COMPUTED_VALUE"""),306.0)</f>
        <v>306</v>
      </c>
      <c r="I7" s="1" t="str">
        <f>IFERROR(__xludf.DUMMYFUNCTION("""COMPUTED_VALUE"""),"Химические свойства амфотерных гидроксидов")</f>
        <v>Химические свойства амфотерных гидроксидов</v>
      </c>
      <c r="J7" s="1">
        <f>IFERROR(__xludf.DUMMYFUNCTION("""COMPUTED_VALUE"""),406.0)</f>
        <v>406</v>
      </c>
      <c r="K7" s="1" t="str">
        <f>IFERROR(__xludf.DUMMYFUNCTION("""COMPUTED_VALUE"""),"Получение, физические и химические свойства кремниевой кислоты")</f>
        <v>Получение, физические и химические свойства кремниевой кислоты</v>
      </c>
      <c r="L7" s="1">
        <f>IFERROR(__xludf.DUMMYFUNCTION("""COMPUTED_VALUE"""),506.0)</f>
        <v>506</v>
      </c>
      <c r="M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N7" s="1">
        <f>IFERROR(__xludf.DUMMYFUNCTION("""COMPUTED_VALUE"""),606.0)</f>
        <v>606</v>
      </c>
      <c r="O7" s="1" t="str">
        <f>IFERROR(__xludf.DUMMYFUNCTION("""COMPUTED_VALUE"""),"Понятие гомологов")</f>
        <v>Понятие гомологов</v>
      </c>
      <c r="P7" s="1">
        <f>IFERROR(__xludf.DUMMYFUNCTION("""COMPUTED_VALUE"""),706.0)</f>
        <v>706</v>
      </c>
      <c r="Q7" s="1" t="str">
        <f>IFERROR(__xludf.DUMMYFUNCTION("""COMPUTED_VALUE"""),"Изомерия алканов")</f>
        <v>Изомерия алканов</v>
      </c>
      <c r="R7" s="1">
        <f>IFERROR(__xludf.DUMMYFUNCTION("""COMPUTED_VALUE"""),806.0)</f>
        <v>806</v>
      </c>
      <c r="S7" s="1" t="str">
        <f>IFERROR(__xludf.DUMMYFUNCTION("""COMPUTED_VALUE"""),"Строение молекул предельных одноатомных спиртов")</f>
        <v>Строение молекул предельных одноатомных спиртов</v>
      </c>
      <c r="T7" s="1">
        <f>IFERROR(__xludf.DUMMYFUNCTION("""COMPUTED_VALUE"""),906.0)</f>
        <v>906</v>
      </c>
      <c r="U7" s="1" t="str">
        <f>IFERROR(__xludf.DUMMYFUNCTION("""COMPUTED_VALUE"""),"Номенклатура аминов")</f>
        <v>Номенклатура аминов</v>
      </c>
      <c r="V7" s="1">
        <f>IFERROR(__xludf.DUMMYFUNCTION("""COMPUTED_VALUE"""),1006.0)</f>
        <v>1006</v>
      </c>
      <c r="W7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X7" s="1">
        <f>IFERROR(__xludf.DUMMYFUNCTION("""COMPUTED_VALUE"""),1107.0)</f>
        <v>1107</v>
      </c>
      <c r="Y7" s="1" t="str">
        <f>IFERROR(__xludf.DUMMYFUNCTION("""COMPUTED_VALUE"""),"Распознавание ионов и веществ по цвету пламени")</f>
        <v>Распознавание ионов и веществ по цвету пламени</v>
      </c>
      <c r="Z7" s="1">
        <f>IFERROR(__xludf.DUMMYFUNCTION("""COMPUTED_VALUE"""),1238.0)</f>
        <v>1238</v>
      </c>
      <c r="AA7" s="1" t="str">
        <f>IFERROR(__xludf.DUMMYFUNCTION("""COMPUTED_VALUE"""),"Способы выражения концентрации вещества")</f>
        <v>Способы выражения концентрации вещества</v>
      </c>
      <c r="AB7" s="1">
        <f>IFERROR(__xludf.DUMMYFUNCTION("""COMPUTED_VALUE"""),1406.0)</f>
        <v>1406</v>
      </c>
    </row>
    <row r="8">
      <c r="A8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B8" s="1">
        <f>IFERROR(__xludf.DUMMYFUNCTION("""COMPUTED_VALUE"""),8.0)</f>
        <v>8</v>
      </c>
      <c r="C8" s="1" t="str">
        <f>IFERROR(__xludf.DUMMYFUNCTION("""COMPUTED_VALUE"""),"Химические и физические свойства серы")</f>
        <v>Химические и физические свойства серы</v>
      </c>
      <c r="D8" s="1">
        <f>IFERROR(__xludf.DUMMYFUNCTION("""COMPUTED_VALUE"""),107.0)</f>
        <v>107</v>
      </c>
      <c r="E8" s="1" t="str">
        <f>IFERROR(__xludf.DUMMYFUNCTION("""COMPUTED_VALUE"""),"Свойства алюминия и его соединений (оксида и гидроксида)")</f>
        <v>Свойства алюминия и его соединений (оксида и гидроксида)</v>
      </c>
      <c r="F8" s="1">
        <f>IFERROR(__xludf.DUMMYFUNCTION("""COMPUTED_VALUE"""),207.0)</f>
        <v>207</v>
      </c>
      <c r="G8" s="1" t="str">
        <f>IFERROR(__xludf.DUMMYFUNCTION("""COMPUTED_VALUE"""),"Получение оксидов")</f>
        <v>Получение оксидов</v>
      </c>
      <c r="H8" s="1">
        <f>IFERROR(__xludf.DUMMYFUNCTION("""COMPUTED_VALUE"""),307.0)</f>
        <v>307</v>
      </c>
      <c r="I8" s="1" t="str">
        <f>IFERROR(__xludf.DUMMYFUNCTION("""COMPUTED_VALUE"""),"Умение составлять формулы оснований и амфотерных гидроксидов")</f>
        <v>Умение составлять формулы оснований и амфотерных гидроксидов</v>
      </c>
      <c r="J8" s="1">
        <f>IFERROR(__xludf.DUMMYFUNCTION("""COMPUTED_VALUE"""),407.0)</f>
        <v>407</v>
      </c>
      <c r="K8" s="1" t="str">
        <f>IFERROR(__xludf.DUMMYFUNCTION("""COMPUTED_VALUE"""),"Получение, физические и химические свойства фосфорных кислот")</f>
        <v>Получение, физические и химические свойства фосфорных кислот</v>
      </c>
      <c r="L8" s="1">
        <f>IFERROR(__xludf.DUMMYFUNCTION("""COMPUTED_VALUE"""),507.0)</f>
        <v>507</v>
      </c>
      <c r="M8" s="1" t="str">
        <f>IFERROR(__xludf.DUMMYFUNCTION("""COMPUTED_VALUE"""),"Нитраты и их свойства и получение")</f>
        <v>Нитраты и их свойства и получение</v>
      </c>
      <c r="N8" s="1">
        <f>IFERROR(__xludf.DUMMYFUNCTION("""COMPUTED_VALUE"""),607.0)</f>
        <v>607</v>
      </c>
      <c r="O8" s="1" t="str">
        <f>IFERROR(__xludf.DUMMYFUNCTION("""COMPUTED_VALUE"""),"Названия заместителей")</f>
        <v>Названия заместителей</v>
      </c>
      <c r="P8" s="1">
        <f>IFERROR(__xludf.DUMMYFUNCTION("""COMPUTED_VALUE"""),707.0)</f>
        <v>707</v>
      </c>
      <c r="Q8" s="1" t="str">
        <f>IFERROR(__xludf.DUMMYFUNCTION("""COMPUTED_VALUE"""),"Физические свойства алканов")</f>
        <v>Физические свойства алканов</v>
      </c>
      <c r="R8" s="1">
        <f>IFERROR(__xludf.DUMMYFUNCTION("""COMPUTED_VALUE"""),807.0)</f>
        <v>807</v>
      </c>
      <c r="S8" s="1" t="str">
        <f>IFERROR(__xludf.DUMMYFUNCTION("""COMPUTED_VALUE"""),"Химические свойства одноатомных спиртов - реакции с разрывом связи О-Н")</f>
        <v>Химические свойства одноатомных спиртов - реакции с разрывом связи О-Н</v>
      </c>
      <c r="T8" s="1">
        <f>IFERROR(__xludf.DUMMYFUNCTION("""COMPUTED_VALUE"""),907.0)</f>
        <v>907</v>
      </c>
      <c r="U8" s="1" t="str">
        <f>IFERROR(__xludf.DUMMYFUNCTION("""COMPUTED_VALUE"""),"Изомерия аминов")</f>
        <v>Изомерия аминов</v>
      </c>
      <c r="V8" s="1">
        <f>IFERROR(__xludf.DUMMYFUNCTION("""COMPUTED_VALUE"""),1007.0)</f>
        <v>1007</v>
      </c>
      <c r="W8" s="1" t="str">
        <f>IFERROR(__xludf.DUMMYFUNCTION("""COMPUTED_VALUE"""),"Физические свойства полимеров")</f>
        <v>Физические свойства полимеров</v>
      </c>
      <c r="X8" s="1">
        <f>IFERROR(__xludf.DUMMYFUNCTION("""COMPUTED_VALUE"""),1108.0)</f>
        <v>1108</v>
      </c>
      <c r="Y8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Z8" s="1">
        <f>IFERROR(__xludf.DUMMYFUNCTION("""COMPUTED_VALUE"""),1242.0)</f>
        <v>1242</v>
      </c>
      <c r="AA8" s="1" t="str">
        <f>IFERROR(__xludf.DUMMYFUNCTION("""COMPUTED_VALUE"""),"Понятие растворимости")</f>
        <v>Понятие растворимости</v>
      </c>
      <c r="AB8" s="1">
        <f>IFERROR(__xludf.DUMMYFUNCTION("""COMPUTED_VALUE"""),1407.0)</f>
        <v>1407</v>
      </c>
    </row>
    <row r="9">
      <c r="A9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B9" s="1">
        <f>IFERROR(__xludf.DUMMYFUNCTION("""COMPUTED_VALUE"""),9.0)</f>
        <v>9</v>
      </c>
      <c r="C9" s="1" t="str">
        <f>IFERROR(__xludf.DUMMYFUNCTION("""COMPUTED_VALUE"""),"Химические и физические свойства азота")</f>
        <v>Химические и 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IFERROR(__xludf.DUMMYFUNCTION("""COMPUTED_VALUE"""),"Свойства железа и его соединений (оксидов и гидроксидов)")</f>
        <v>Свойства железа и его соединений (оксидов и гидроксидов)</v>
      </c>
      <c r="F9" s="1">
        <f>IFERROR(__xludf.DUMMYFUNCTION("""COMPUTED_VALUE"""),208.0)</f>
        <v>208</v>
      </c>
      <c r="G9" s="1" t="str">
        <f>IFERROR(__xludf.DUMMYFUNCTION("""COMPUTED_VALUE"""),"Систематическая и тривиальная номенклатуры оксидов")</f>
        <v>Систематическая и тривиальная номенклатуры оксидов</v>
      </c>
      <c r="H9" s="1">
        <f>IFERROR(__xludf.DUMMYFUNCTION("""COMPUTED_VALUE"""),308.0)</f>
        <v>308</v>
      </c>
      <c r="I9" s="1" t="str">
        <f>IFERROR(__xludf.DUMMYFUNCTION("""COMPUTED_VALUE"""),"Получение гидроксидов")</f>
        <v>Получение гидроксидов</v>
      </c>
      <c r="J9" s="1">
        <f>IFERROR(__xludf.DUMMYFUNCTION("""COMPUTED_VALUE"""),408.0)</f>
        <v>408</v>
      </c>
      <c r="K9" s="1" t="str">
        <f>IFERROR(__xludf.DUMMYFUNCTION("""COMPUTED_VALUE"""),"Получение, физические и химические свойства галогеноводородных кислот")</f>
        <v>Получение, физические и химические свойства галогеноводородных кислот</v>
      </c>
      <c r="L9" s="1">
        <f>IFERROR(__xludf.DUMMYFUNCTION("""COMPUTED_VALUE"""),508.0)</f>
        <v>508</v>
      </c>
      <c r="M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N9" s="1">
        <f>IFERROR(__xludf.DUMMYFUNCTION("""COMPUTED_VALUE"""),608.0)</f>
        <v>608</v>
      </c>
      <c r="O9" s="1" t="str">
        <f>IFERROR(__xludf.DUMMYFUNCTION("""COMPUTED_VALUE"""),"Пространственное строение молекул")</f>
        <v>Пространственное строение молекул</v>
      </c>
      <c r="P9" s="1">
        <f>IFERROR(__xludf.DUMMYFUNCTION("""COMPUTED_VALUE"""),708.0)</f>
        <v>708</v>
      </c>
      <c r="Q9" s="1" t="str">
        <f>IFERROR(__xludf.DUMMYFUNCTION("""COMPUTED_VALUE"""),"Способы получения алканов")</f>
        <v>Способы получения алканов</v>
      </c>
      <c r="R9" s="1">
        <f>IFERROR(__xludf.DUMMYFUNCTION("""COMPUTED_VALUE"""),808.0)</f>
        <v>808</v>
      </c>
      <c r="S9" s="1" t="str">
        <f>IFERROR(__xludf.DUMMYFUNCTION("""COMPUTED_VALUE"""),"Изомерия предельных одноатомных спиртов")</f>
        <v>Изомерия предельных одноатомных спиртов</v>
      </c>
      <c r="T9" s="1">
        <f>IFERROR(__xludf.DUMMYFUNCTION("""COMPUTED_VALUE"""),908.0)</f>
        <v>908</v>
      </c>
      <c r="U9" s="1" t="str">
        <f>IFERROR(__xludf.DUMMYFUNCTION("""COMPUTED_VALUE"""),"Физические свойства аминов")</f>
        <v>Физические свойства аминов</v>
      </c>
      <c r="V9" s="1">
        <f>IFERROR(__xludf.DUMMYFUNCTION("""COMPUTED_VALUE"""),1008.0)</f>
        <v>1008</v>
      </c>
      <c r="W9" s="1" t="str">
        <f>IFERROR(__xludf.DUMMYFUNCTION("""COMPUTED_VALUE"""),"Свойства полимеров")</f>
        <v>Свойства полимеров</v>
      </c>
      <c r="X9" s="1">
        <f>IFERROR(__xludf.DUMMYFUNCTION("""COMPUTED_VALUE"""),1109.0)</f>
        <v>1109</v>
      </c>
      <c r="Y9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Z9" s="1">
        <f>IFERROR(__xludf.DUMMYFUNCTION("""COMPUTED_VALUE"""),1246.0)</f>
        <v>1246</v>
      </c>
      <c r="AA9" s="1" t="str">
        <f>IFERROR(__xludf.DUMMYFUNCTION("""COMPUTED_VALUE"""),"Понятие количества вещества")</f>
        <v>Понятие количества вещества</v>
      </c>
      <c r="AB9" s="1">
        <f>IFERROR(__xludf.DUMMYFUNCTION("""COMPUTED_VALUE"""),1408.0)</f>
        <v>1408</v>
      </c>
    </row>
    <row r="10">
      <c r="A10" s="1" t="str">
        <f>IFERROR(__xludf.DUMMYFUNCTION("""COMPUTED_VALUE"""),"Полярная и неполярная ковалентные связи")</f>
        <v>Полярная и неполярная ковалентные связи</v>
      </c>
      <c r="B10" s="1">
        <f>IFERROR(__xludf.DUMMYFUNCTION("""COMPUTED_VALUE"""),10.0)</f>
        <v>10</v>
      </c>
      <c r="C10" s="1" t="str">
        <f>IFERROR(__xludf.DUMMYFUNCTION("""COMPUTED_VALUE"""),"Химические и физические свойства галогенов")</f>
        <v>Химические и 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IFERROR(__xludf.DUMMYFUNCTION("""COMPUTED_VALUE"""),"Свойства хрома и его соединений (оксидов и гидроксидов)")</f>
        <v>Свойства хрома и его соединений (оксидов и гидроксидов)</v>
      </c>
      <c r="F10" s="1">
        <f>IFERROR(__xludf.DUMMYFUNCTION("""COMPUTED_VALUE"""),209.0)</f>
        <v>209</v>
      </c>
      <c r="G10" s="1" t="str">
        <f>IFERROR(__xludf.DUMMYFUNCTION("""COMPUTED_VALUE"""),"Умение по оксиду (основному, амфотерному, кислотному) определять соответствующий ему гидроксид (основание, амфотерный гидроксид, кислоту) и наоборот")</f>
        <v>Умение по оксиду (основному, амфотерному, кислотному) определять соответствующий ему гидроксид (основание, амфотерный гидроксид, кислоту) и наоборот</v>
      </c>
      <c r="H10" s="1">
        <f>IFERROR(__xludf.DUMMYFUNCTION("""COMPUTED_VALUE"""),309.0)</f>
        <v>309</v>
      </c>
      <c r="I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J10" s="1">
        <f>IFERROR(__xludf.DUMMYFUNCTION("""COMPUTED_VALUE"""),409.0)</f>
        <v>409</v>
      </c>
      <c r="K10" s="1" t="str">
        <f>IFERROR(__xludf.DUMMYFUNCTION("""COMPUTED_VALUE"""),"Получение, физические и химические свойства кислородсодержащих кислот галогенов")</f>
        <v>Получение, физические и химические свойства кислородсодержащих кислот галогенов</v>
      </c>
      <c r="L10" s="1">
        <f>IFERROR(__xludf.DUMMYFUNCTION("""COMPUTED_VALUE"""),509.0)</f>
        <v>509</v>
      </c>
      <c r="M10" s="1" t="str">
        <f>IFERROR(__xludf.DUMMYFUNCTION("""COMPUTED_VALUE"""),"Понятие жесткости и мягкости воды")</f>
        <v>Понятие жесткости и мягкости воды</v>
      </c>
      <c r="N10" s="1">
        <f>IFERROR(__xludf.DUMMYFUNCTION("""COMPUTED_VALUE"""),609.0)</f>
        <v>609</v>
      </c>
      <c r="O10" s="1" t="str">
        <f>IFERROR(__xludf.DUMMYFUNCTION("""COMPUTED_VALUE"""),"Виды перекрывания валентных орбиталей")</f>
        <v>Виды перекрывания валентных орбиталей</v>
      </c>
      <c r="P10" s="1">
        <f>IFERROR(__xludf.DUMMYFUNCTION("""COMPUTED_VALUE"""),709.0)</f>
        <v>709</v>
      </c>
      <c r="Q10" s="1" t="str">
        <f>IFERROR(__xludf.DUMMYFUNCTION("""COMPUTED_VALUE"""),"Применение алканов")</f>
        <v>Применение алканов</v>
      </c>
      <c r="R10" s="1">
        <f>IFERROR(__xludf.DUMMYFUNCTION("""COMPUTED_VALUE"""),809.0)</f>
        <v>809</v>
      </c>
      <c r="S10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T10" s="1">
        <f>IFERROR(__xludf.DUMMYFUNCTION("""COMPUTED_VALUE"""),909.0)</f>
        <v>909</v>
      </c>
      <c r="U10" s="1" t="str">
        <f>IFERROR(__xludf.DUMMYFUNCTION("""COMPUTED_VALUE"""),"Способы получения аминов")</f>
        <v>Способы получения аминов</v>
      </c>
      <c r="V10" s="1">
        <f>IFERROR(__xludf.DUMMYFUNCTION("""COMPUTED_VALUE"""),1009.0)</f>
        <v>1009</v>
      </c>
      <c r="W10" s="1" t="str">
        <f>IFERROR(__xludf.DUMMYFUNCTION("""COMPUTED_VALUE"""),"Получение резины. Вулканизация каучука")</f>
        <v>Получение резины. Вулканизация каучука</v>
      </c>
      <c r="X10" s="1">
        <f>IFERROR(__xludf.DUMMYFUNCTION("""COMPUTED_VALUE"""),1110.0)</f>
        <v>1110</v>
      </c>
      <c r="Y10" s="1"/>
      <c r="Z10" s="1"/>
      <c r="AA10" s="1" t="str">
        <f>IFERROR(__xludf.DUMMYFUNCTION("""COMPUTED_VALUE"""),"Умение составлять и решать пропорции ")</f>
        <v>Умение составлять и решать пропорции </v>
      </c>
      <c r="AB10" s="1">
        <f>IFERROR(__xludf.DUMMYFUNCTION("""COMPUTED_VALUE"""),1409.0)</f>
        <v>1409</v>
      </c>
    </row>
    <row r="11">
      <c r="A11" s="1" t="str">
        <f>IFERROR(__xludf.DUMMYFUNCTION("""COMPUTED_VALUE"""),"Ионная связь")</f>
        <v>Ионная связь</v>
      </c>
      <c r="B11" s="1">
        <f>IFERROR(__xludf.DUMMYFUNCTION("""COMPUTED_VALUE"""),11.0)</f>
        <v>11</v>
      </c>
      <c r="C11" s="1" t="str">
        <f>IFERROR(__xludf.DUMMYFUNCTION("""COMPUTED_VALUE"""),"Химические и физические свойства фтора")</f>
        <v>Химические и физические свойства фтора</v>
      </c>
      <c r="D11" s="1">
        <f>IFERROR(__xludf.DUMMYFUNCTION("""COMPUTED_VALUE"""),110.0)</f>
        <v>110</v>
      </c>
      <c r="E11" s="1" t="str">
        <f>IFERROR(__xludf.DUMMYFUNCTION("""COMPUTED_VALUE"""),"Свойства меди и ее соединений (оксидов и гидроксидов)")</f>
        <v>Свойства меди и ее соединений (оксидов и гидроксидов)</v>
      </c>
      <c r="F11" s="1">
        <f>IFERROR(__xludf.DUMMYFUNCTION("""COMPUTED_VALUE"""),210.0)</f>
        <v>210</v>
      </c>
      <c r="G11" s="1" t="str">
        <f>IFERROR(__xludf.DUMMYFUNCTION("""COMPUTED_VALUE"""),"Умение различать оксиды/пероксиды/надпероксиды")</f>
        <v>Умение различать оксиды/пероксиды/надпероксиды</v>
      </c>
      <c r="H11" s="1">
        <f>IFERROR(__xludf.DUMMYFUNCTION("""COMPUTED_VALUE"""),310.0)</f>
        <v>310</v>
      </c>
      <c r="I11" s="1" t="str">
        <f>IFERROR(__xludf.DUMMYFUNCTION("""COMPUTED_VALUE"""),"Химические свойства щелочей")</f>
        <v>Химические свойства щелочей</v>
      </c>
      <c r="J11" s="1">
        <f>IFERROR(__xludf.DUMMYFUNCTION("""COMPUTED_VALUE"""),410.0)</f>
        <v>410</v>
      </c>
      <c r="K11" s="1" t="str">
        <f>IFERROR(__xludf.DUMMYFUNCTION("""COMPUTED_VALUE"""),"Систематическая и тривиальная номенклатуры кислот")</f>
        <v>Систематическая и тривиальная номенклатуры кислот</v>
      </c>
      <c r="L11" s="1">
        <f>IFERROR(__xludf.DUMMYFUNCTION("""COMPUTED_VALUE"""),510.0)</f>
        <v>510</v>
      </c>
      <c r="M11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N11" s="1">
        <f>IFERROR(__xludf.DUMMYFUNCTION("""COMPUTED_VALUE"""),610.0)</f>
        <v>610</v>
      </c>
      <c r="O11" s="1" t="str">
        <f>IFERROR(__xludf.DUMMYFUNCTION("""COMPUTED_VALUE"""),"Реакции замещения и их механизмы")</f>
        <v>Реакции замещения и их механизмы</v>
      </c>
      <c r="P11" s="1">
        <f>IFERROR(__xludf.DUMMYFUNCTION("""COMPUTED_VALUE"""),710.0)</f>
        <v>710</v>
      </c>
      <c r="Q11" s="1" t="str">
        <f>IFERROR(__xludf.DUMMYFUNCTION("""COMPUTED_VALUE"""),"Умение определять алкены")</f>
        <v>Умение определять алкены</v>
      </c>
      <c r="R11" s="1">
        <f>IFERROR(__xludf.DUMMYFUNCTION("""COMPUTED_VALUE"""),810.0)</f>
        <v>810</v>
      </c>
      <c r="S11" s="1" t="str">
        <f>IFERROR(__xludf.DUMMYFUNCTION("""COMPUTED_VALUE"""),"Способы получения предельных одноатомных спиртов")</f>
        <v>Способы получения предельных одноатомных спиртов</v>
      </c>
      <c r="T11" s="1">
        <f>IFERROR(__xludf.DUMMYFUNCTION("""COMPUTED_VALUE"""),910.0)</f>
        <v>910</v>
      </c>
      <c r="U11" s="1" t="str">
        <f>IFERROR(__xludf.DUMMYFUNCTION("""COMPUTED_VALUE"""),"Применение аминов")</f>
        <v>Применение аминов</v>
      </c>
      <c r="V11" s="1">
        <f>IFERROR(__xludf.DUMMYFUNCTION("""COMPUTED_VALUE"""),1010.0)</f>
        <v>1010</v>
      </c>
      <c r="W11" s="1" t="str">
        <f>IFERROR(__xludf.DUMMYFUNCTION("""COMPUTED_VALUE"""),"Умение сопоставлять мономеры и полимеры")</f>
        <v>Умение сопоставлять мономеры и полимеры</v>
      </c>
      <c r="X11" s="1">
        <f>IFERROR(__xludf.DUMMYFUNCTION("""COMPUTED_VALUE"""),1111.0)</f>
        <v>1111</v>
      </c>
      <c r="Y11" s="1"/>
      <c r="Z11" s="1"/>
      <c r="AA11" s="1" t="str">
        <f>IFERROR(__xludf.DUMMYFUNCTION("""COMPUTED_VALUE"""),"Определение находится ли вещество, участвующее в реакции, в избытке или недостатке")</f>
        <v>Определение находится ли вещество, участвующее в реакции, в избытке или недостатке</v>
      </c>
      <c r="AB11" s="1">
        <f>IFERROR(__xludf.DUMMYFUNCTION("""COMPUTED_VALUE"""),1410.0)</f>
        <v>1410</v>
      </c>
    </row>
    <row r="12">
      <c r="A12" s="1" t="str">
        <f>IFERROR(__xludf.DUMMYFUNCTION("""COMPUTED_VALUE"""),"Металлическая связь")</f>
        <v>Металлическая связь</v>
      </c>
      <c r="B12" s="1">
        <f>IFERROR(__xludf.DUMMYFUNCTION("""COMPUTED_VALUE"""),12.0)</f>
        <v>12</v>
      </c>
      <c r="C12" s="1" t="str">
        <f>IFERROR(__xludf.DUMMYFUNCTION("""COMPUTED_VALUE"""),"Основные соединения водорода. Вода и пероксид водорода, их физические и химические свойства, их получение")</f>
        <v>Основные соединения водорода. Вода и пероксид водорода, их физические и химические свойства, их получение</v>
      </c>
      <c r="D12" s="1">
        <f>IFERROR(__xludf.DUMMYFUNCTION("""COMPUTED_VALUE"""),111.0)</f>
        <v>111</v>
      </c>
      <c r="E12" s="1" t="str">
        <f>IFERROR(__xludf.DUMMYFUNCTION("""COMPUTED_VALUE"""),"Свойства серебра и его соединений (оксида и гидроксида)")</f>
        <v>Свойства серебра и его соединений (оксида и гидроксида)</v>
      </c>
      <c r="F12" s="1">
        <f>IFERROR(__xludf.DUMMYFUNCTION("""COMPUTED_VALUE"""),211.0)</f>
        <v>211</v>
      </c>
      <c r="G12" s="1" t="str">
        <f>IFERROR(__xludf.DUMMYFUNCTION("""COMPUTED_VALUE"""),"Физические и химические свойства надпероксидов активных металлов, их получение")</f>
        <v>Физические и химические свойства надпероксидов активных металлов, их получение</v>
      </c>
      <c r="H12" s="1">
        <f>IFERROR(__xludf.DUMMYFUNCTION("""COMPUTED_VALUE"""),311.0)</f>
        <v>311</v>
      </c>
      <c r="I12" s="1"/>
      <c r="J12" s="1"/>
      <c r="K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L12" s="1">
        <f>IFERROR(__xludf.DUMMYFUNCTION("""COMPUTED_VALUE"""),511.0)</f>
        <v>511</v>
      </c>
      <c r="M12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N12" s="1">
        <f>IFERROR(__xludf.DUMMYFUNCTION("""COMPUTED_VALUE"""),611.0)</f>
        <v>611</v>
      </c>
      <c r="O12" s="1" t="str">
        <f>IFERROR(__xludf.DUMMYFUNCTION("""COMPUTED_VALUE"""),"Реакции присоединения и их механизмы")</f>
        <v>Реакции присоединения и их механизмы</v>
      </c>
      <c r="P12" s="1">
        <f>IFERROR(__xludf.DUMMYFUNCTION("""COMPUTED_VALUE"""),711.0)</f>
        <v>711</v>
      </c>
      <c r="Q12" s="1" t="str">
        <f>IFERROR(__xludf.DUMMYFUNCTION("""COMPUTED_VALUE"""),"Химические свойства алкенов - реакции присоединения")</f>
        <v>Химические свойства алкенов - реакции присоединения</v>
      </c>
      <c r="R12" s="1">
        <f>IFERROR(__xludf.DUMMYFUNCTION("""COMPUTED_VALUE"""),811.0)</f>
        <v>811</v>
      </c>
      <c r="S12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T12" s="1">
        <f>IFERROR(__xludf.DUMMYFUNCTION("""COMPUTED_VALUE"""),911.0)</f>
        <v>911</v>
      </c>
      <c r="U12" s="1" t="str">
        <f>IFERROR(__xludf.DUMMYFUNCTION("""COMPUTED_VALUE"""),"Умение определять аминокислоты")</f>
        <v>Умение определять аминокислоты</v>
      </c>
      <c r="V12" s="1">
        <f>IFERROR(__xludf.DUMMYFUNCTION("""COMPUTED_VALUE"""),1011.0)</f>
        <v>1011</v>
      </c>
      <c r="W12" s="1" t="str">
        <f>IFERROR(__xludf.DUMMYFUNCTION("""COMPUTED_VALUE"""),"Пластмассы")</f>
        <v>Пластмассы</v>
      </c>
      <c r="X12" s="1">
        <f>IFERROR(__xludf.DUMMYFUNCTION("""COMPUTED_VALUE"""),1112.0)</f>
        <v>1112</v>
      </c>
      <c r="Y12" s="1"/>
      <c r="Z12" s="1"/>
      <c r="AA12" s="1" t="str">
        <f>IFERROR(__xludf.DUMMYFUNCTION("""COMPUTED_VALUE"""),"Умение анализировать молекулярную формулу и химические свойства вещества для определения его класса и построения структурной формулы")</f>
        <v>Умение анализировать молекулярную формулу и химические свойства вещества для определения его класса и построения структурной формулы</v>
      </c>
      <c r="AB12" s="1">
        <f>IFERROR(__xludf.DUMMYFUNCTION("""COMPUTED_VALUE"""),1411.0)</f>
        <v>1411</v>
      </c>
    </row>
    <row r="13">
      <c r="A13" s="1" t="str">
        <f>IFERROR(__xludf.DUMMYFUNCTION("""COMPUTED_VALUE"""),"Водородная связь")</f>
        <v>Водородная связь</v>
      </c>
      <c r="B13" s="1">
        <f>IFERROR(__xludf.DUMMYFUNCTION("""COMPUTED_VALUE"""),13.0)</f>
        <v>13</v>
      </c>
      <c r="C13" s="1" t="str">
        <f>IFERROR(__xludf.DUMMYFUNCTION("""COMPUTED_VALUE"""),"Основные соединения углерода. Оксиды углерода и их физические и химические свойства")</f>
        <v>Основные соединения углерода. Оксиды углерода и их физические и химические свойства</v>
      </c>
      <c r="D13" s="1">
        <f>IFERROR(__xludf.DUMMYFUNCTION("""COMPUTED_VALUE"""),112.0)</f>
        <v>112</v>
      </c>
      <c r="E13" s="1" t="str">
        <f>IFERROR(__xludf.DUMMYFUNCTION("""COMPUTED_VALUE"""),"Свойства цинка и его соединений (оксида и гидроксида)")</f>
        <v>Свойства цинка и его соединений (оксида и гидроксида)</v>
      </c>
      <c r="F13" s="1">
        <f>IFERROR(__xludf.DUMMYFUNCTION("""COMPUTED_VALUE"""),212.0)</f>
        <v>212</v>
      </c>
      <c r="G13" s="1"/>
      <c r="H13" s="1"/>
      <c r="I13" s="1"/>
      <c r="J13" s="1"/>
      <c r="K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L13" s="1">
        <f>IFERROR(__xludf.DUMMYFUNCTION("""COMPUTED_VALUE"""),512.0)</f>
        <v>512</v>
      </c>
      <c r="M13" s="1" t="str">
        <f>IFERROR(__xludf.DUMMYFUNCTION("""COMPUTED_VALUE"""),"Получение солей (средних, кислых, основных, комплексных)")</f>
        <v>Получение солей (средних, кислых, основных, комплексных)</v>
      </c>
      <c r="N13" s="1">
        <f>IFERROR(__xludf.DUMMYFUNCTION("""COMPUTED_VALUE"""),612.0)</f>
        <v>612</v>
      </c>
      <c r="O13" s="1" t="str">
        <f>IFERROR(__xludf.DUMMYFUNCTION("""COMPUTED_VALUE"""),"Тривиальные названия органических соединений")</f>
        <v>Тривиальные названия органических соединений</v>
      </c>
      <c r="P13" s="1">
        <f>IFERROR(__xludf.DUMMYFUNCTION("""COMPUTED_VALUE"""),712.0)</f>
        <v>712</v>
      </c>
      <c r="Q13" s="1" t="str">
        <f>IFERROR(__xludf.DUMMYFUNCTION("""COMPUTED_VALUE"""),"Строение молекул алкенов")</f>
        <v>Строение молекул алкенов</v>
      </c>
      <c r="R13" s="1">
        <f>IFERROR(__xludf.DUMMYFUNCTION("""COMPUTED_VALUE"""),812.0)</f>
        <v>812</v>
      </c>
      <c r="S13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T13" s="1">
        <f>IFERROR(__xludf.DUMMYFUNCTION("""COMPUTED_VALUE"""),912.0)</f>
        <v>912</v>
      </c>
      <c r="U13" s="1" t="str">
        <f>IFERROR(__xludf.DUMMYFUNCTION("""COMPUTED_VALUE"""),"Химические свойства аминокислот")</f>
        <v>Химические свойства аминокислот</v>
      </c>
      <c r="V13" s="1">
        <f>IFERROR(__xludf.DUMMYFUNCTION("""COMPUTED_VALUE"""),1012.0)</f>
        <v>1012</v>
      </c>
      <c r="W13" s="1"/>
      <c r="X13" s="1"/>
      <c r="Y13" s="1"/>
      <c r="Z13" s="1"/>
      <c r="AA13" s="1" t="str">
        <f>IFERROR(__xludf.DUMMYFUNCTION("""COMPUTED_VALUE"""),"Понятие теоретически возможного и практического выхода продукта реакции")</f>
        <v>Понятие теоретически возможного и практического выхода продукта реакции</v>
      </c>
      <c r="AB13" s="1">
        <f>IFERROR(__xludf.DUMMYFUNCTION("""COMPUTED_VALUE"""),1412.0)</f>
        <v>1412</v>
      </c>
    </row>
    <row r="14">
      <c r="A14" s="1" t="str">
        <f>IFERROR(__xludf.DUMMYFUNCTION("""COMPUTED_VALUE"""),"Атомная решетка")</f>
        <v>Атомная решетка</v>
      </c>
      <c r="B14" s="1">
        <f>IFERROR(__xludf.DUMMYFUNCTION("""COMPUTED_VALUE"""),14.0)</f>
        <v>14</v>
      </c>
      <c r="C14" s="1" t="str">
        <f>IFERROR(__xludf.DUMMYFUNCTION("""COMPUTED_VALUE"""),"Основные соединения кремния. Оксиды кремния и их физические и химические свойства")</f>
        <v>Основные соединения кремния. Оксиды кремния и их физические и химические свойства</v>
      </c>
      <c r="D14" s="1">
        <f>IFERROR(__xludf.DUMMYFUNCTION("""COMPUTED_VALUE"""),113.0)</f>
        <v>113</v>
      </c>
      <c r="E14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 t="str">
        <f>IFERROR(__xludf.DUMMYFUNCTION("""COMPUTED_VALUE"""),"Разложение солей")</f>
        <v>Разложение солей</v>
      </c>
      <c r="N14" s="1">
        <f>IFERROR(__xludf.DUMMYFUNCTION("""COMPUTED_VALUE"""),613.0)</f>
        <v>613</v>
      </c>
      <c r="O14" s="1"/>
      <c r="P14" s="1"/>
      <c r="Q14" s="1" t="str">
        <f>IFERROR(__xludf.DUMMYFUNCTION("""COMPUTED_VALUE"""),"Тип гибридизации атомов углерода в молекулах алкенов")</f>
        <v>Тип гибридизации атомов углерода в молекулах алкенов</v>
      </c>
      <c r="R14" s="1">
        <f>IFERROR(__xludf.DUMMYFUNCTION("""COMPUTED_VALUE"""),813.0)</f>
        <v>813</v>
      </c>
      <c r="S14" s="1" t="str">
        <f>IFERROR(__xludf.DUMMYFUNCTION("""COMPUTED_VALUE"""),"Строение молекул предельных многоатомных спиртов")</f>
        <v>Строение молекул предельных многоатомных спиртов</v>
      </c>
      <c r="T14" s="1">
        <f>IFERROR(__xludf.DUMMYFUNCTION("""COMPUTED_VALUE"""),913.0)</f>
        <v>913</v>
      </c>
      <c r="U14" s="1" t="str">
        <f>IFERROR(__xludf.DUMMYFUNCTION("""COMPUTED_VALUE"""),"Строение молекул аминокислот")</f>
        <v>Строение молекул аминокислот</v>
      </c>
      <c r="V14" s="1">
        <f>IFERROR(__xludf.DUMMYFUNCTION("""COMPUTED_VALUE"""),1013.0)</f>
        <v>1013</v>
      </c>
      <c r="W14" s="1"/>
      <c r="X14" s="1"/>
      <c r="Y14" s="1"/>
      <c r="Z14" s="1"/>
      <c r="AA14" s="1" t="str">
        <f>IFERROR(__xludf.DUMMYFUNCTION("""COMPUTED_VALUE"""),"Понятие примесей")</f>
        <v>Понятие примесей</v>
      </c>
      <c r="AB14" s="1">
        <f>IFERROR(__xludf.DUMMYFUNCTION("""COMPUTED_VALUE"""),1413.0)</f>
        <v>1413</v>
      </c>
    </row>
    <row r="15">
      <c r="A15" s="1" t="str">
        <f>IFERROR(__xludf.DUMMYFUNCTION("""COMPUTED_VALUE"""),"Молекулярная решетка")</f>
        <v>Молекулярная решетка</v>
      </c>
      <c r="B15" s="1">
        <f>IFERROR(__xludf.DUMMYFUNCTION("""COMPUTED_VALUE"""),15.0)</f>
        <v>15</v>
      </c>
      <c r="C15" s="1" t="str">
        <f>IFERROR(__xludf.DUMMYFUNCTION("""COMPUTED_VALUE"""),"Основные соединения фосфора. Оксиды и кислоты фосфора, фосфин и их физические и химические свойства")</f>
        <v>Основные соединения фосфора. Оксиды и кислоты фосфора, фосфин и их физические и химические свойства</v>
      </c>
      <c r="D15" s="1">
        <f>IFERROR(__xludf.DUMMYFUNCTION("""COMPUTED_VALUE"""),114.0)</f>
        <v>114</v>
      </c>
      <c r="E15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 t="str">
        <f>IFERROR(__xludf.DUMMYFUNCTION("""COMPUTED_VALUE"""),"Химические свойства средних солей")</f>
        <v>Химические свойства средних солей</v>
      </c>
      <c r="N15" s="1">
        <f>IFERROR(__xludf.DUMMYFUNCTION("""COMPUTED_VALUE"""),614.0)</f>
        <v>614</v>
      </c>
      <c r="O15" s="1"/>
      <c r="P15" s="1"/>
      <c r="Q15" s="1" t="str">
        <f>IFERROR(__xludf.DUMMYFUNCTION("""COMPUTED_VALUE"""),"Номенклатура алкенов")</f>
        <v>Номенклатура алкенов</v>
      </c>
      <c r="R15" s="1">
        <f>IFERROR(__xludf.DUMMYFUNCTION("""COMPUTED_VALUE"""),814.0)</f>
        <v>814</v>
      </c>
      <c r="S15" s="1" t="str">
        <f>IFERROR(__xludf.DUMMYFUNCTION("""COMPUTED_VALUE"""),"Общие химические свойства предельных многоатомных спиртов")</f>
        <v>Общие химические свойства предельных многоатомных спиртов</v>
      </c>
      <c r="T15" s="1">
        <f>IFERROR(__xludf.DUMMYFUNCTION("""COMPUTED_VALUE"""),914.0)</f>
        <v>914</v>
      </c>
      <c r="U15" s="1" t="str">
        <f>IFERROR(__xludf.DUMMYFUNCTION("""COMPUTED_VALUE"""),"Тип гибридизации атомов углерода в молекулах аминокислот")</f>
        <v>Тип гибридизации атомов углерода в молекулах аминокислот</v>
      </c>
      <c r="V15" s="1">
        <f>IFERROR(__xludf.DUMMYFUNCTION("""COMPUTED_VALUE"""),1014.0)</f>
        <v>1014</v>
      </c>
      <c r="W15" s="1"/>
      <c r="X15" s="1"/>
      <c r="Y15" s="1"/>
      <c r="Z15" s="1"/>
      <c r="AA15" s="1" t="str">
        <f>IFERROR(__xludf.DUMMYFUNCTION("""COMPUTED_VALUE"""),"Понятие плотности вещества")</f>
        <v>Понятие плотности вещества</v>
      </c>
      <c r="AB15" s="1">
        <f>IFERROR(__xludf.DUMMYFUNCTION("""COMPUTED_VALUE"""),1414.0)</f>
        <v>1414</v>
      </c>
    </row>
    <row r="16">
      <c r="A16" s="1" t="str">
        <f>IFERROR(__xludf.DUMMYFUNCTION("""COMPUTED_VALUE"""),"Ионная решетка")</f>
        <v>Ионная решетка</v>
      </c>
      <c r="B16" s="1">
        <f>IFERROR(__xludf.DUMMYFUNCTION("""COMPUTED_VALUE"""),16.0)</f>
        <v>16</v>
      </c>
      <c r="C16" s="1" t="str">
        <f>IFERROR(__xludf.DUMMYFUNCTION("""COMPUTED_VALUE"""),"Основные соединения азота. Оксиды и кислоты азота, аммиак и их физические и химические свойства")</f>
        <v>Основные соединения азота. Оксиды и кислоты азота, аммиак и их физические и химические свойства</v>
      </c>
      <c r="D16" s="1">
        <f>IFERROR(__xludf.DUMMYFUNCTION("""COMPUTED_VALUE"""),115.0)</f>
        <v>115</v>
      </c>
      <c r="E16" s="1"/>
      <c r="F16" s="1"/>
      <c r="G16" s="1"/>
      <c r="H16" s="1"/>
      <c r="I16" s="1"/>
      <c r="J16" s="1"/>
      <c r="K16" s="1"/>
      <c r="L16" s="1"/>
      <c r="M16" s="1" t="str">
        <f>IFERROR(__xludf.DUMMYFUNCTION("""COMPUTED_VALUE"""),"Гидролиз солей")</f>
        <v>Гидролиз солей</v>
      </c>
      <c r="N16" s="1">
        <f>IFERROR(__xludf.DUMMYFUNCTION("""COMPUTED_VALUE"""),615.0)</f>
        <v>615</v>
      </c>
      <c r="O16" s="1"/>
      <c r="P16" s="1"/>
      <c r="Q16" s="1" t="str">
        <f>IFERROR(__xludf.DUMMYFUNCTION("""COMPUTED_VALUE"""),"Изомерия алкенов")</f>
        <v>Изомерия алкенов</v>
      </c>
      <c r="R16" s="1">
        <f>IFERROR(__xludf.DUMMYFUNCTION("""COMPUTED_VALUE"""),815.0)</f>
        <v>815</v>
      </c>
      <c r="S16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T16" s="1">
        <f>IFERROR(__xludf.DUMMYFUNCTION("""COMPUTED_VALUE"""),915.0)</f>
        <v>915</v>
      </c>
      <c r="U16" s="1" t="str">
        <f>IFERROR(__xludf.DUMMYFUNCTION("""COMPUTED_VALUE"""),"Номенклатура аминокислот")</f>
        <v>Номенклатура аминокислот</v>
      </c>
      <c r="V16" s="1">
        <f>IFERROR(__xludf.DUMMYFUNCTION("""COMPUTED_VALUE"""),1015.0)</f>
        <v>1015</v>
      </c>
      <c r="W16" s="1"/>
      <c r="X16" s="1"/>
      <c r="Y16" s="1"/>
      <c r="Z16" s="1"/>
      <c r="AA16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AB16" s="1">
        <f>IFERROR(__xludf.DUMMYFUNCTION("""COMPUTED_VALUE"""),1415.0)</f>
        <v>1415</v>
      </c>
    </row>
    <row r="17">
      <c r="A17" s="1" t="str">
        <f>IFERROR(__xludf.DUMMYFUNCTION("""COMPUTED_VALUE"""),"Металлическая решетка")</f>
        <v>Металлическая решетка</v>
      </c>
      <c r="B17" s="1">
        <f>IFERROR(__xludf.DUMMYFUNCTION("""COMPUTED_VALUE"""),17.0)</f>
        <v>17</v>
      </c>
      <c r="C17" s="1" t="str">
        <f>IFERROR(__xludf.DUMMYFUNCTION("""COMPUTED_VALUE"""),"Основные соединения серы. Оксиды и кислоты серы и их физические и химические свойства")</f>
        <v>Основные соединения серы. Оксиды и кислоты серы и их физические и химические свойства</v>
      </c>
      <c r="D17" s="1">
        <f>IFERROR(__xludf.DUMMYFUNCTION("""COMPUTED_VALUE"""),116.0)</f>
        <v>116</v>
      </c>
      <c r="E17" s="1"/>
      <c r="F17" s="1"/>
      <c r="G17" s="1"/>
      <c r="H17" s="1"/>
      <c r="I17" s="1"/>
      <c r="J17" s="1"/>
      <c r="K17" s="1"/>
      <c r="L17" s="1"/>
      <c r="M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IFERROR(__xludf.DUMMYFUNCTION("""COMPUTED_VALUE"""),"Физические свойства алкенов")</f>
        <v>Физические свойства алкенов</v>
      </c>
      <c r="R17" s="1">
        <f>IFERROR(__xludf.DUMMYFUNCTION("""COMPUTED_VALUE"""),816.0)</f>
        <v>816</v>
      </c>
      <c r="S17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T17" s="1">
        <f>IFERROR(__xludf.DUMMYFUNCTION("""COMPUTED_VALUE"""),916.0)</f>
        <v>916</v>
      </c>
      <c r="U17" s="1" t="str">
        <f>IFERROR(__xludf.DUMMYFUNCTION("""COMPUTED_VALUE"""),"Изомерия аминокислот")</f>
        <v>Изомерия аминокислот</v>
      </c>
      <c r="V17" s="1">
        <f>IFERROR(__xludf.DUMMYFUNCTION("""COMPUTED_VALUE"""),1016.0)</f>
        <v>1016</v>
      </c>
      <c r="W17" s="1"/>
      <c r="X17" s="1"/>
      <c r="Y17" s="1"/>
      <c r="Z17" s="1"/>
      <c r="AA17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AB17" s="1">
        <f>IFERROR(__xludf.DUMMYFUNCTION("""COMPUTED_VALUE"""),1416.0)</f>
        <v>1416</v>
      </c>
    </row>
    <row r="18">
      <c r="A18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8" s="1">
        <f>IFERROR(__xludf.DUMMYFUNCTION("""COMPUTED_VALUE"""),18.0)</f>
        <v>18</v>
      </c>
      <c r="C18" s="1" t="str">
        <f>IFERROR(__xludf.DUMMYFUNCTION("""COMPUTED_VALUE"""),"Основные соединения фтора. Плавиковая кислота, её физические и химические свойства, а также получение")</f>
        <v>Основные соединения фтора. Плавиковая кислота, её физические и химические свойства, а также получение</v>
      </c>
      <c r="D18" s="1">
        <f>IFERROR(__xludf.DUMMYFUNCTION("""COMPUTED_VALUE"""),117.0)</f>
        <v>117</v>
      </c>
      <c r="E18" s="1"/>
      <c r="F18" s="1"/>
      <c r="G18" s="1"/>
      <c r="H18" s="1"/>
      <c r="I18" s="1"/>
      <c r="J18" s="1"/>
      <c r="K18" s="1"/>
      <c r="L18" s="1"/>
      <c r="M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IFERROR(__xludf.DUMMYFUNCTION("""COMPUTED_VALUE"""),"Способы получения алкенов")</f>
        <v>Способы получения алкенов</v>
      </c>
      <c r="R18" s="1">
        <f>IFERROR(__xludf.DUMMYFUNCTION("""COMPUTED_VALUE"""),817.0)</f>
        <v>817</v>
      </c>
      <c r="S18" s="1" t="str">
        <f>IFERROR(__xludf.DUMMYFUNCTION("""COMPUTED_VALUE"""),"Способы получения предельных многоатомных спиртов")</f>
        <v>Способы получения предельных многоатомных спиртов</v>
      </c>
      <c r="T18" s="1">
        <f>IFERROR(__xludf.DUMMYFUNCTION("""COMPUTED_VALUE"""),917.0)</f>
        <v>917</v>
      </c>
      <c r="U18" s="1" t="str">
        <f>IFERROR(__xludf.DUMMYFUNCTION("""COMPUTED_VALUE"""),"Физические свойства аминокислот")</f>
        <v>Физические свойства аминокислот</v>
      </c>
      <c r="V18" s="1">
        <f>IFERROR(__xludf.DUMMYFUNCTION("""COMPUTED_VALUE"""),1017.0)</f>
        <v>1017</v>
      </c>
      <c r="W18" s="1"/>
      <c r="X18" s="1"/>
      <c r="Y18" s="1"/>
      <c r="Z18" s="1"/>
      <c r="AA18" s="1" t="str">
        <f>IFERROR(__xludf.DUMMYFUNCTION("""COMPUTED_VALUE"""),"Нахождение массовой доли вещества / элемента")</f>
        <v>Нахождение массовой доли вещества / элемента</v>
      </c>
      <c r="AB18" s="1">
        <f>IFERROR(__xludf.DUMMYFUNCTION("""COMPUTED_VALUE"""),1417.0)</f>
        <v>1417</v>
      </c>
    </row>
    <row r="19">
      <c r="A19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B19" s="1">
        <f>IFERROR(__xludf.DUMMYFUNCTION("""COMPUTED_VALUE"""),23.0)</f>
        <v>23</v>
      </c>
      <c r="C19" s="1" t="str">
        <f>IFERROR(__xludf.DUMMYFUNCTION("""COMPUTED_VALUE"""),"Основные соединения галогенов. Оксиды и кислоты галогенов и их физические и химические свойства")</f>
        <v>Основные соединения галогенов. Оксиды и кислоты галогенов и их физические и химические свойства</v>
      </c>
      <c r="D19" s="1">
        <f>IFERROR(__xludf.DUMMYFUNCTION("""COMPUTED_VALUE"""),118.0)</f>
        <v>118</v>
      </c>
      <c r="E19" s="1"/>
      <c r="F19" s="1"/>
      <c r="G19" s="1"/>
      <c r="H19" s="1"/>
      <c r="I19" s="1"/>
      <c r="J19" s="1"/>
      <c r="K19" s="1"/>
      <c r="L19" s="1"/>
      <c r="M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IFERROR(__xludf.DUMMYFUNCTION("""COMPUTED_VALUE"""),"Применение алкенов")</f>
        <v>Применение алкенов</v>
      </c>
      <c r="R19" s="1">
        <f>IFERROR(__xludf.DUMMYFUNCTION("""COMPUTED_VALUE"""),818.0)</f>
        <v>818</v>
      </c>
      <c r="S19" s="1" t="str">
        <f>IFERROR(__xludf.DUMMYFUNCTION("""COMPUTED_VALUE"""),"Применение предельных многоатомных спиртов")</f>
        <v>Применение предельных многоатомных спиртов</v>
      </c>
      <c r="T19" s="1">
        <f>IFERROR(__xludf.DUMMYFUNCTION("""COMPUTED_VALUE"""),918.0)</f>
        <v>918</v>
      </c>
      <c r="U19" s="1" t="str">
        <f>IFERROR(__xludf.DUMMYFUNCTION("""COMPUTED_VALUE"""),"Способы получения аминокислот")</f>
        <v>Способы получения аминокислот</v>
      </c>
      <c r="V19" s="1">
        <f>IFERROR(__xludf.DUMMYFUNCTION("""COMPUTED_VALUE"""),1018.0)</f>
        <v>1018</v>
      </c>
      <c r="W19" s="1"/>
      <c r="X19" s="1"/>
      <c r="Y19" s="1"/>
      <c r="Z19" s="1"/>
      <c r="AA19" s="1" t="str">
        <f>IFERROR(__xludf.DUMMYFUNCTION("""COMPUTED_VALUE"""),"Нахождение объёма вещества")</f>
        <v>Нахождение объёма вещества</v>
      </c>
      <c r="AB19" s="1">
        <f>IFERROR(__xludf.DUMMYFUNCTION("""COMPUTED_VALUE"""),1418.0)</f>
        <v>1418</v>
      </c>
    </row>
    <row r="20">
      <c r="A20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B20" s="1">
        <f>IFERROR(__xludf.DUMMYFUNCTION("""COMPUTED_VALUE"""),26.0)</f>
        <v>26</v>
      </c>
      <c r="C20" s="1" t="str">
        <f>IFERROR(__xludf.DUMMYFUNCTION("""COMPUTED_VALUE"""),"Применение неметаллов и их соединений")</f>
        <v>Применение неметаллов и их соединений</v>
      </c>
      <c r="D20" s="1">
        <f>IFERROR(__xludf.DUMMYFUNCTION("""COMPUTED_VALUE"""),119.0)</f>
        <v>119</v>
      </c>
      <c r="E20" s="1"/>
      <c r="F20" s="1"/>
      <c r="G20" s="1"/>
      <c r="H20" s="1"/>
      <c r="I20" s="1"/>
      <c r="J20" s="1"/>
      <c r="K20" s="1"/>
      <c r="L20" s="1"/>
      <c r="M20" s="1" t="str">
        <f>IFERROR(__xludf.DUMMYFUNCTION("""COMPUTED_VALUE"""),"Биологическая роль фосфатов и нитратов")</f>
        <v>Биологическая роль фосфатов и нитратов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IFERROR(__xludf.DUMMYFUNCTION("""COMPUTED_VALUE"""),"Умение определять алкины ")</f>
        <v>Умение определять алкины </v>
      </c>
      <c r="R20" s="1">
        <f>IFERROR(__xludf.DUMMYFUNCTION("""COMPUTED_VALUE"""),819.0)</f>
        <v>819</v>
      </c>
      <c r="S20" s="1" t="str">
        <f>IFERROR(__xludf.DUMMYFUNCTION("""COMPUTED_VALUE"""),"Умение определять фенолы")</f>
        <v>Умение определять фенолы</v>
      </c>
      <c r="T20" s="1">
        <f>IFERROR(__xludf.DUMMYFUNCTION("""COMPUTED_VALUE"""),919.0)</f>
        <v>919</v>
      </c>
      <c r="U20" s="1" t="str">
        <f>IFERROR(__xludf.DUMMYFUNCTION("""COMPUTED_VALUE"""),"Применение аминокислот")</f>
        <v>Применение аминокислот</v>
      </c>
      <c r="V20" s="1">
        <f>IFERROR(__xludf.DUMMYFUNCTION("""COMPUTED_VALUE"""),1019.0)</f>
        <v>1019</v>
      </c>
      <c r="W20" s="1"/>
      <c r="X20" s="1"/>
      <c r="Y20" s="1"/>
      <c r="Z20" s="1"/>
      <c r="AA20" s="1" t="str">
        <f>IFERROR(__xludf.DUMMYFUNCTION("""COMPUTED_VALUE"""),"Нахождение массы вещества")</f>
        <v>Нахождение массы вещества</v>
      </c>
      <c r="AB20" s="1">
        <f>IFERROR(__xludf.DUMMYFUNCTION("""COMPUTED_VALUE"""),1419.0)</f>
        <v>1419</v>
      </c>
    </row>
    <row r="21">
      <c r="A21" s="1" t="str">
        <f>IFERROR(__xludf.DUMMYFUNCTION("""COMPUTED_VALUE"""),"Теория электролитической диссоциации. Сильные и слабые электролиты")</f>
        <v>Теория электролитической диссоциации. Сильные и слабые электролиты</v>
      </c>
      <c r="B21" s="1">
        <f>IFERROR(__xludf.DUMMYFUNCTION("""COMPUTED_VALUE"""),27.0)</f>
        <v>27</v>
      </c>
      <c r="C21" s="1" t="str">
        <f>IFERROR(__xludf.DUMMYFUNCTION("""COMPUTED_VALUE"""),"Получение неметаллов")</f>
        <v>Получение неметаллов</v>
      </c>
      <c r="D21" s="1">
        <f>IFERROR(__xludf.DUMMYFUNCTION("""COMPUTED_VALUE"""),120.0)</f>
        <v>120</v>
      </c>
      <c r="E21" s="1"/>
      <c r="F21" s="1"/>
      <c r="G21" s="1"/>
      <c r="H21" s="1"/>
      <c r="I21" s="1"/>
      <c r="J21" s="1"/>
      <c r="K21" s="1"/>
      <c r="L21" s="1"/>
      <c r="M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IFERROR(__xludf.DUMMYFUNCTION("""COMPUTED_VALUE"""),"Химические свойства алкинов - реакции присоединения")</f>
        <v>Химические свойства алкинов - реакции присоединения</v>
      </c>
      <c r="R21" s="1">
        <f>IFERROR(__xludf.DUMMYFUNCTION("""COMPUTED_VALUE"""),820.0)</f>
        <v>820</v>
      </c>
      <c r="S21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T21" s="1">
        <f>IFERROR(__xludf.DUMMYFUNCTION("""COMPUTED_VALUE"""),920.0)</f>
        <v>920</v>
      </c>
      <c r="U21" s="1" t="str">
        <f>IFERROR(__xludf.DUMMYFUNCTION("""COMPUTED_VALUE"""),"Строение белков. Первичная, вторичная, третичная и четвертичные структуры")</f>
        <v>Строение белков. Первичная, вторичная, третичная и четвертичные структуры</v>
      </c>
      <c r="V21" s="1">
        <f>IFERROR(__xludf.DUMMYFUNCTION("""COMPUTED_VALUE"""),1020.0)</f>
        <v>1020</v>
      </c>
      <c r="W21" s="1"/>
      <c r="X21" s="1"/>
      <c r="Y21" s="1"/>
      <c r="Z21" s="1"/>
      <c r="AA21" s="1" t="str">
        <f>IFERROR(__xludf.DUMMYFUNCTION("""COMPUTED_VALUE"""),"Понятие относительной плотности вещества по некоторому другому веществу")</f>
        <v>Понятие относительной плотности вещества по некоторому другому веществу</v>
      </c>
      <c r="AB21" s="1">
        <f>IFERROR(__xludf.DUMMYFUNCTION("""COMPUTED_VALUE"""),1420.0)</f>
        <v>1420</v>
      </c>
    </row>
    <row r="22">
      <c r="A22" s="1" t="str">
        <f>IFERROR(__xludf.DUMMYFUNCTION("""COMPUTED_VALUE"""),"Кислотность среды. Понятие рН")</f>
        <v>Кислотность среды. Понятие рН</v>
      </c>
      <c r="B22" s="1">
        <f>IFERROR(__xludf.DUMMYFUNCTION("""COMPUTED_VALUE"""),28.0)</f>
        <v>28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/>
      <c r="F22" s="1"/>
      <c r="G22" s="1"/>
      <c r="H22" s="1"/>
      <c r="I22" s="1"/>
      <c r="J22" s="1"/>
      <c r="K22" s="1"/>
      <c r="L22" s="1"/>
      <c r="M22" s="1" t="str">
        <f>IFERROR(__xludf.DUMMYFUNCTION("""COMPUTED_VALUE"""),"Свойства силикатов и их получение")</f>
        <v>Свойства силикатов и их получение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IFERROR(__xludf.DUMMYFUNCTION("""COMPUTED_VALUE"""),"Строение молекул алкинов")</f>
        <v>Строение молекул алкинов</v>
      </c>
      <c r="R22" s="1">
        <f>IFERROR(__xludf.DUMMYFUNCTION("""COMPUTED_VALUE"""),821.0)</f>
        <v>821</v>
      </c>
      <c r="S22" s="1" t="str">
        <f>IFERROR(__xludf.DUMMYFUNCTION("""COMPUTED_VALUE"""),"Химические свойства фенолов")</f>
        <v>Химические свойства фенолов</v>
      </c>
      <c r="T22" s="1">
        <f>IFERROR(__xludf.DUMMYFUNCTION("""COMPUTED_VALUE"""),921.0)</f>
        <v>921</v>
      </c>
      <c r="U22" s="1" t="str">
        <f>IFERROR(__xludf.DUMMYFUNCTION("""COMPUTED_VALUE"""),"Протеины и протеиды")</f>
        <v>Протеины и протеиды</v>
      </c>
      <c r="V22" s="1">
        <f>IFERROR(__xludf.DUMMYFUNCTION("""COMPUTED_VALUE"""),1021.0)</f>
        <v>1021</v>
      </c>
      <c r="W22" s="1"/>
      <c r="X22" s="1"/>
      <c r="Y22" s="1"/>
      <c r="Z22" s="1"/>
      <c r="AA22" s="1" t="str">
        <f>IFERROR(__xludf.DUMMYFUNCTION("""COMPUTED_VALUE"""),"Нахождение молекулярной формулы вещества по соотношению количеств атомов, входящих в его состав")</f>
        <v>Нахождение молекулярной формулы вещества по соотношению количеств атомов, входящих в его состав</v>
      </c>
      <c r="AB22" s="1">
        <f>IFERROR(__xludf.DUMMYFUNCTION("""COMPUTED_VALUE"""),1421.0)</f>
        <v>1421</v>
      </c>
    </row>
    <row r="23">
      <c r="A23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23" s="1">
        <f>IFERROR(__xludf.DUMMYFUNCTION("""COMPUTED_VALUE"""),29.0)</f>
        <v>29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/>
      <c r="F23" s="1"/>
      <c r="G23" s="1"/>
      <c r="H23" s="1"/>
      <c r="I23" s="1"/>
      <c r="J23" s="1"/>
      <c r="K23" s="1"/>
      <c r="L23" s="1"/>
      <c r="M23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IFERROR(__xludf.DUMMYFUNCTION("""COMPUTED_VALUE"""),"Тип гибридизации атомов углерода в молекулах алкинов")</f>
        <v>Тип гибридизации атомов углерода в молекулах алкинов</v>
      </c>
      <c r="R23" s="1">
        <f>IFERROR(__xludf.DUMMYFUNCTION("""COMPUTED_VALUE"""),822.0)</f>
        <v>822</v>
      </c>
      <c r="S23" s="1" t="str">
        <f>IFERROR(__xludf.DUMMYFUNCTION("""COMPUTED_VALUE"""),"Строение молекул фенолов")</f>
        <v>Строение молекул фенолов</v>
      </c>
      <c r="T23" s="1">
        <f>IFERROR(__xludf.DUMMYFUNCTION("""COMPUTED_VALUE"""),922.0)</f>
        <v>922</v>
      </c>
      <c r="U23" s="1" t="str">
        <f>IFERROR(__xludf.DUMMYFUNCTION("""COMPUTED_VALUE"""),"Химические свойства белков")</f>
        <v>Химические свойства белков</v>
      </c>
      <c r="V23" s="1">
        <f>IFERROR(__xludf.DUMMYFUNCTION("""COMPUTED_VALUE"""),1022.0)</f>
        <v>1022</v>
      </c>
      <c r="W23" s="1"/>
      <c r="X23" s="1"/>
      <c r="Y23" s="1"/>
      <c r="Z23" s="1"/>
      <c r="AA23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AB23" s="1">
        <f>IFERROR(__xludf.DUMMYFUNCTION("""COMPUTED_VALUE"""),1422.0)</f>
        <v>1422</v>
      </c>
    </row>
    <row r="24">
      <c r="A24" s="1" t="str">
        <f>IFERROR(__xludf.DUMMYFUNCTION("""COMPUTED_VALUE"""),"Понятие проскока электрона")</f>
        <v>Понятие проскока электрона</v>
      </c>
      <c r="B24" s="1">
        <f>IFERROR(__xludf.DUMMYFUNCTION("""COMPUTED_VALUE"""),30.0)</f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IFERROR(__xludf.DUMMYFUNCTION("""COMPUTED_VALUE"""),"Номенклатура алкинов")</f>
        <v>Номенклатура алкинов</v>
      </c>
      <c r="R24" s="1">
        <f>IFERROR(__xludf.DUMMYFUNCTION("""COMPUTED_VALUE"""),823.0)</f>
        <v>823</v>
      </c>
      <c r="S24" s="1" t="str">
        <f>IFERROR(__xludf.DUMMYFUNCTION("""COMPUTED_VALUE"""),"Тип гибридизации атомов углерода в молекулах фенолов")</f>
        <v>Тип гибридизации атомов углерода в молекулах фенолов</v>
      </c>
      <c r="T24" s="1">
        <f>IFERROR(__xludf.DUMMYFUNCTION("""COMPUTED_VALUE"""),923.0)</f>
        <v>923</v>
      </c>
      <c r="U24" s="1" t="str">
        <f>IFERROR(__xludf.DUMMYFUNCTION("""COMPUTED_VALUE"""),"Химические свойства и способы получения анилина")</f>
        <v>Химические свойства и способы получения анилина</v>
      </c>
      <c r="V24" s="1">
        <f>IFERROR(__xludf.DUMMYFUNCTION("""COMPUTED_VALUE"""),1024.0)</f>
        <v>1024</v>
      </c>
      <c r="W24" s="1"/>
      <c r="X24" s="1"/>
      <c r="Y24" s="1"/>
      <c r="Z24" s="1"/>
      <c r="AA24" s="1" t="str">
        <f>IFERROR(__xludf.DUMMYFUNCTION("""COMPUTED_VALUE"""),"Понятие объемной доли газа")</f>
        <v>Понятие объемной доли газа</v>
      </c>
      <c r="AB24" s="1">
        <f>IFERROR(__xludf.DUMMYFUNCTION("""COMPUTED_VALUE"""),1423.0)</f>
        <v>1423</v>
      </c>
    </row>
    <row r="25">
      <c r="A25" s="1" t="str">
        <f>IFERROR(__xludf.DUMMYFUNCTION("""COMPUTED_VALUE"""),"Основное состояние атома")</f>
        <v>Основное состояние атома</v>
      </c>
      <c r="B25" s="1">
        <f>IFERROR(__xludf.DUMMYFUNCTION("""COMPUTED_VALUE"""),31.0)</f>
        <v>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 t="str">
        <f>IFERROR(__xludf.DUMMYFUNCTION("""COMPUTED_VALUE"""),"Соли аммония, их свойства и получение")</f>
        <v>Соли аммония, их свойства и получение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IFERROR(__xludf.DUMMYFUNCTION("""COMPUTED_VALUE"""),"Изомерия алкинов")</f>
        <v>Изомерия алкинов</v>
      </c>
      <c r="R25" s="1">
        <f>IFERROR(__xludf.DUMMYFUNCTION("""COMPUTED_VALUE"""),824.0)</f>
        <v>824</v>
      </c>
      <c r="S25" s="1" t="str">
        <f>IFERROR(__xludf.DUMMYFUNCTION("""COMPUTED_VALUE"""),"Номенклатура фенолов")</f>
        <v>Номенклатура фенолов</v>
      </c>
      <c r="T25" s="1">
        <f>IFERROR(__xludf.DUMMYFUNCTION("""COMPUTED_VALUE"""),924.0)</f>
        <v>924</v>
      </c>
      <c r="U25" s="1" t="str">
        <f>IFERROR(__xludf.DUMMYFUNCTION("""COMPUTED_VALUE"""),"Взаимосвязь органических соединений (для органических цепочек)")</f>
        <v>Взаимосвязь органических соединений (для органических цепочек)</v>
      </c>
      <c r="V25" s="1">
        <f>IFERROR(__xludf.DUMMYFUNCTION("""COMPUTED_VALUE"""),1025.0)</f>
        <v>1025</v>
      </c>
      <c r="W25" s="1"/>
      <c r="X25" s="1"/>
      <c r="Y25" s="1"/>
      <c r="Z25" s="1"/>
      <c r="AA25" s="1" t="str">
        <f>IFERROR(__xludf.DUMMYFUNCTION("""COMPUTED_VALUE"""),"Понятие молярной массы")</f>
        <v>Понятие молярной массы</v>
      </c>
      <c r="AB25" s="1">
        <f>IFERROR(__xludf.DUMMYFUNCTION("""COMPUTED_VALUE"""),1424.0)</f>
        <v>1424</v>
      </c>
    </row>
    <row r="26">
      <c r="A26" s="1" t="str">
        <f>IFERROR(__xludf.DUMMYFUNCTION("""COMPUTED_VALUE"""),"Возбужденное состояние атома")</f>
        <v>Возбужденное состояние атома</v>
      </c>
      <c r="B26" s="1">
        <f>IFERROR(__xludf.DUMMYFUNCTION("""COMPUTED_VALUE"""),32.0)</f>
        <v>32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IFERROR(__xludf.DUMMYFUNCTION("""COMPUTED_VALUE"""),"Физические свойства алкинов")</f>
        <v>Физические свойства алкинов</v>
      </c>
      <c r="R26" s="1">
        <f>IFERROR(__xludf.DUMMYFUNCTION("""COMPUTED_VALUE"""),825.0)</f>
        <v>825</v>
      </c>
      <c r="S26" s="1" t="str">
        <f>IFERROR(__xludf.DUMMYFUNCTION("""COMPUTED_VALUE"""),"Изомерия фенолов")</f>
        <v>Изомерия фенолов</v>
      </c>
      <c r="T26" s="1">
        <f>IFERROR(__xludf.DUMMYFUNCTION("""COMPUTED_VALUE"""),925.0)</f>
        <v>925</v>
      </c>
      <c r="U26" s="1" t="str">
        <f>IFERROR(__xludf.DUMMYFUNCTION("""COMPUTED_VALUE"""),"Изменение основных свойств в ряду аминов")</f>
        <v>Изменение основных свойств в ряду аминов</v>
      </c>
      <c r="V26" s="1">
        <f>IFERROR(__xludf.DUMMYFUNCTION("""COMPUTED_VALUE"""),1026.0)</f>
        <v>1026</v>
      </c>
      <c r="W26" s="1"/>
      <c r="X26" s="1"/>
      <c r="Y26" s="1"/>
      <c r="Z26" s="1"/>
      <c r="AA26" s="1" t="str">
        <f>IFERROR(__xludf.DUMMYFUNCTION("""COMPUTED_VALUE"""),"Умение использовать заданное соотношение атомов химических элементов в веществе или смеси веществ для нахождения искомых величин")</f>
        <v>Умение использовать заданное соотношение атомов химических элементов в веществе или смеси веществ для нахождения искомых величин</v>
      </c>
      <c r="AB26" s="1">
        <f>IFERROR(__xludf.DUMMYFUNCTION("""COMPUTED_VALUE"""),1425.0)</f>
        <v>1425</v>
      </c>
    </row>
    <row r="27">
      <c r="A27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27" s="1">
        <f>IFERROR(__xludf.DUMMYFUNCTION("""COMPUTED_VALUE"""),33.0)</f>
        <v>33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 t="str">
        <f>IFERROR(__xludf.DUMMYFUNCTION("""COMPUTED_VALUE"""),"Химические свойства кислых солей")</f>
        <v>Химические свойства кислых солей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IFERROR(__xludf.DUMMYFUNCTION("""COMPUTED_VALUE"""),"Способы получения алкинов")</f>
        <v>Способы получения алкинов</v>
      </c>
      <c r="R27" s="1">
        <f>IFERROR(__xludf.DUMMYFUNCTION("""COMPUTED_VALUE"""),826.0)</f>
        <v>826</v>
      </c>
      <c r="S27" s="1" t="str">
        <f>IFERROR(__xludf.DUMMYFUNCTION("""COMPUTED_VALUE"""),"Физические свойства фенолов")</f>
        <v>Физические свойства фенолов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  <c r="AA27" s="1"/>
      <c r="AB27" s="1"/>
    </row>
    <row r="28">
      <c r="A28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B28" s="1">
        <f>IFERROR(__xludf.DUMMYFUNCTION("""COMPUTED_VALUE"""),34.0)</f>
        <v>34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 t="str">
        <f>IFERROR(__xludf.DUMMYFUNCTION("""COMPUTED_VALUE"""),"Химические свойства основных солей")</f>
        <v>Химические свойства основных солей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IFERROR(__xludf.DUMMYFUNCTION("""COMPUTED_VALUE"""),"Применение алкинов")</f>
        <v>Применение алкинов</v>
      </c>
      <c r="R28" s="1">
        <f>IFERROR(__xludf.DUMMYFUNCTION("""COMPUTED_VALUE"""),827.0)</f>
        <v>827</v>
      </c>
      <c r="S28" s="1" t="str">
        <f>IFERROR(__xludf.DUMMYFUNCTION("""COMPUTED_VALUE"""),"Способы получения фенолов")</f>
        <v>Способы получения фенолов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  <c r="AA28" s="1"/>
      <c r="AB28" s="1"/>
    </row>
    <row r="29">
      <c r="A29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B29" s="1">
        <f>IFERROR(__xludf.DUMMYFUNCTION("""COMPUTED_VALUE"""),35.0)</f>
        <v>35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 t="str">
        <f>IFERROR(__xludf.DUMMYFUNCTION("""COMPUTED_VALUE"""),"Химические свойства комплексных солей")</f>
        <v>Химические свойства комплексных солей</v>
      </c>
      <c r="N29" s="1">
        <f>IFERROR(__xludf.DUMMYFUNCTION("""COMPUTED_VALUE"""),628.0)</f>
        <v>628</v>
      </c>
      <c r="O29" s="1"/>
      <c r="P29" s="1"/>
      <c r="Q29" s="1" t="str">
        <f>IFERROR(__xludf.DUMMYFUNCTION("""COMPUTED_VALUE"""),"Умение определять циклоалканы")</f>
        <v>Умение определять циклоалканы</v>
      </c>
      <c r="R29" s="1">
        <f>IFERROR(__xludf.DUMMYFUNCTION("""COMPUTED_VALUE"""),828.0)</f>
        <v>828</v>
      </c>
      <c r="S29" s="1" t="str">
        <f>IFERROR(__xludf.DUMMYFUNCTION("""COMPUTED_VALUE"""),"Применение фенолов")</f>
        <v>Применение фенолов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  <c r="AA29" s="1"/>
      <c r="AB29" s="1"/>
    </row>
    <row r="30">
      <c r="A30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30" s="1">
        <f>IFERROR(__xludf.DUMMYFUNCTION("""COMPUTED_VALUE"""),36.0)</f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IFERROR(__xludf.DUMMYFUNCTION("""COMPUTED_VALUE"""),"Химические свойства циклоалканов (реакции замещения, присоединения и др.)")</f>
        <v>Химические свойства циклоалканов (реакции замещения, присоединения и др.)</v>
      </c>
      <c r="R30" s="1">
        <f>IFERROR(__xludf.DUMMYFUNCTION("""COMPUTED_VALUE"""),829.0)</f>
        <v>829</v>
      </c>
      <c r="S30" s="1" t="str">
        <f>IFERROR(__xludf.DUMMYFUNCTION("""COMPUTED_VALUE"""),"Умение определять альдегиды")</f>
        <v>Умение определять альдегиды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  <c r="AA30" s="1"/>
      <c r="AB30" s="1"/>
    </row>
    <row r="31">
      <c r="A31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B31" s="1">
        <f>IFERROR(__xludf.DUMMYFUNCTION("""COMPUTED_VALUE"""),37.0)</f>
        <v>37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IFERROR(__xludf.DUMMYFUNCTION("""COMPUTED_VALUE"""),"Строение молекул циклоалканов")</f>
        <v>Строение молекул циклоалканов</v>
      </c>
      <c r="R31" s="1">
        <f>IFERROR(__xludf.DUMMYFUNCTION("""COMPUTED_VALUE"""),830.0)</f>
        <v>830</v>
      </c>
      <c r="S31" s="1" t="str">
        <f>IFERROR(__xludf.DUMMYFUNCTION("""COMPUTED_VALUE"""),"Умение определять кетоны")</f>
        <v>Умение определять кетоны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  <c r="AA31" s="1"/>
      <c r="AB31" s="1"/>
    </row>
    <row r="32">
      <c r="A32" s="1" t="str">
        <f>IFERROR(__xludf.DUMMYFUNCTION("""COMPUTED_VALUE"""),"Факторы, влияющие на смещение химического равновесия")</f>
        <v>Факторы, влияющие на смещение химического равновесия</v>
      </c>
      <c r="B32" s="1">
        <f>IFERROR(__xludf.DUMMYFUNCTION("""COMPUTED_VALUE"""),38.0)</f>
        <v>38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IFERROR(__xludf.DUMMYFUNCTION("""COMPUTED_VALUE"""),"Тип гибридизации атомов углерода в молекулах циклоалканов")</f>
        <v>Тип гибридизации атомов углерода в молекулах циклоалканов</v>
      </c>
      <c r="R32" s="1">
        <f>IFERROR(__xludf.DUMMYFUNCTION("""COMPUTED_VALUE"""),831.0)</f>
        <v>831</v>
      </c>
      <c r="S32" s="1" t="str">
        <f>IFERROR(__xludf.DUMMYFUNCTION("""COMPUTED_VALUE"""),"Химические свойства альдегидов - реакции присоединения")</f>
        <v>Химические свойства альдегидов - реакции присоединения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  <c r="AA32" s="1"/>
      <c r="AB32" s="1"/>
    </row>
    <row r="33">
      <c r="A33" s="1" t="str">
        <f>IFERROR(__xludf.DUMMYFUNCTION("""COMPUTED_VALUE"""),"Сигма- и пи-связи")</f>
        <v>Сигма- и пи-связи</v>
      </c>
      <c r="B33" s="1">
        <f>IFERROR(__xludf.DUMMYFUNCTION("""COMPUTED_VALUE"""),39.0)</f>
        <v>39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IFERROR(__xludf.DUMMYFUNCTION("""COMPUTED_VALUE"""),"Номенклатура циклоалканов")</f>
        <v>Номенклатура циклоалканов</v>
      </c>
      <c r="R33" s="1">
        <f>IFERROR(__xludf.DUMMYFUNCTION("""COMPUTED_VALUE"""),832.0)</f>
        <v>832</v>
      </c>
      <c r="S33" s="1" t="str">
        <f>IFERROR(__xludf.DUMMYFUNCTION("""COMPUTED_VALUE"""),"Химические свойства кетонов")</f>
        <v>Химические свойства кетонов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  <c r="AA33" s="1"/>
      <c r="AB33" s="1"/>
    </row>
    <row r="34">
      <c r="A34" s="1" t="str">
        <f>IFERROR(__xludf.DUMMYFUNCTION("""COMPUTED_VALUE"""),"Реакции ионного обмена. Правило Бертолле")</f>
        <v>Реакции ионного обмена. Правило Бертолле</v>
      </c>
      <c r="B34" s="1">
        <f>IFERROR(__xludf.DUMMYFUNCTION("""COMPUTED_VALUE"""),40.0)</f>
        <v>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IFERROR(__xludf.DUMMYFUNCTION("""COMPUTED_VALUE"""),"Изомерия циклоалканов")</f>
        <v>Изомерия циклоалканов</v>
      </c>
      <c r="R34" s="1">
        <f>IFERROR(__xludf.DUMMYFUNCTION("""COMPUTED_VALUE"""),833.0)</f>
        <v>833</v>
      </c>
      <c r="S34" s="1" t="str">
        <f>IFERROR(__xludf.DUMMYFUNCTION("""COMPUTED_VALUE"""),"Номенклатура альдегидов и кетонов")</f>
        <v>Номенклатура альдегидов и кетонов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  <c r="AA34" s="1"/>
      <c r="AB34" s="1"/>
    </row>
    <row r="35">
      <c r="A35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B35" s="1">
        <f>IFERROR(__xludf.DUMMYFUNCTION("""COMPUTED_VALUE"""),41.0)</f>
        <v>41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IFERROR(__xludf.DUMMYFUNCTION("""COMPUTED_VALUE"""),"Физические свойства циклоалканов")</f>
        <v>Физические свойства циклоалканов</v>
      </c>
      <c r="R35" s="1">
        <f>IFERROR(__xludf.DUMMYFUNCTION("""COMPUTED_VALUE"""),834.0)</f>
        <v>834</v>
      </c>
      <c r="S35" s="1" t="str">
        <f>IFERROR(__xludf.DUMMYFUNCTION("""COMPUTED_VALUE"""),"Изомерия альдегидов и кетонов")</f>
        <v>Изомерия альдегидов и кетонов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  <c r="AA35" s="1"/>
      <c r="AB35" s="1"/>
    </row>
    <row r="36">
      <c r="A36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B36" s="1">
        <f>IFERROR(__xludf.DUMMYFUNCTION("""COMPUTED_VALUE"""),42.0)</f>
        <v>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IFERROR(__xludf.DUMMYFUNCTION("""COMPUTED_VALUE"""),"Способы получения циклоалканов")</f>
        <v>Способы получения циклоалканов</v>
      </c>
      <c r="R36" s="1">
        <f>IFERROR(__xludf.DUMMYFUNCTION("""COMPUTED_VALUE"""),835.0)</f>
        <v>835</v>
      </c>
      <c r="S36" s="1" t="str">
        <f>IFERROR(__xludf.DUMMYFUNCTION("""COMPUTED_VALUE"""),"Строение молекул альдегидов")</f>
        <v>Строение молекул альдегидов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  <c r="AA36" s="1"/>
      <c r="AB36" s="1"/>
    </row>
    <row r="37">
      <c r="A37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37" s="1">
        <f>IFERROR(__xludf.DUMMYFUNCTION("""COMPUTED_VALUE"""),43.0)</f>
        <v>43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IFERROR(__xludf.DUMMYFUNCTION("""COMPUTED_VALUE"""),"Применение циклоалканов")</f>
        <v>Применение циклоалканов</v>
      </c>
      <c r="R37" s="1">
        <f>IFERROR(__xludf.DUMMYFUNCTION("""COMPUTED_VALUE"""),836.0)</f>
        <v>836</v>
      </c>
      <c r="S37" s="1" t="str">
        <f>IFERROR(__xludf.DUMMYFUNCTION("""COMPUTED_VALUE"""),"Строение молекул кетонов")</f>
        <v>Строение молекул кетонов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  <c r="AA37" s="1"/>
      <c r="AB37" s="1"/>
    </row>
    <row r="38">
      <c r="A38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B38" s="1">
        <f>IFERROR(__xludf.DUMMYFUNCTION("""COMPUTED_VALUE"""),44.0)</f>
        <v>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IFERROR(__xludf.DUMMYFUNCTION("""COMPUTED_VALUE"""),"Умение определять циклоалкены")</f>
        <v>Умение определять циклоалкены</v>
      </c>
      <c r="R38" s="1">
        <f>IFERROR(__xludf.DUMMYFUNCTION("""COMPUTED_VALUE"""),837.0)</f>
        <v>837</v>
      </c>
      <c r="S38" s="1" t="str">
        <f>IFERROR(__xludf.DUMMYFUNCTION("""COMPUTED_VALUE"""),"Физические свойства альдегидов")</f>
        <v>Физические свойства альдегидов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  <c r="AA38" s="1"/>
      <c r="AB38" s="1"/>
    </row>
    <row r="39">
      <c r="A39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B39" s="1">
        <f>IFERROR(__xludf.DUMMYFUNCTION("""COMPUTED_VALUE"""),45.0)</f>
        <v>45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IFERROR(__xludf.DUMMYFUNCTION("""COMPUTED_VALUE"""),"Химические свойства циклоалкенов (реакции замещения, присоединения и др.)")</f>
        <v>Химические свойства циклоалкенов (реакции замещения, присоединения и др.)</v>
      </c>
      <c r="R39" s="1">
        <f>IFERROR(__xludf.DUMMYFUNCTION("""COMPUTED_VALUE"""),838.0)</f>
        <v>838</v>
      </c>
      <c r="S39" s="1" t="str">
        <f>IFERROR(__xludf.DUMMYFUNCTION("""COMPUTED_VALUE"""),"Физические свойства кетонов")</f>
        <v>Физические свойства кетонов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  <c r="AA39" s="1"/>
      <c r="AB39" s="1"/>
    </row>
    <row r="40">
      <c r="A40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40" s="1">
        <f>IFERROR(__xludf.DUMMYFUNCTION("""COMPUTED_VALUE"""),46.0)</f>
        <v>46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IFERROR(__xludf.DUMMYFUNCTION("""COMPUTED_VALUE"""),"Строение молекул циклоалкенов")</f>
        <v>Строение молекул циклоалкенов</v>
      </c>
      <c r="R40" s="1">
        <f>IFERROR(__xludf.DUMMYFUNCTION("""COMPUTED_VALUE"""),839.0)</f>
        <v>839</v>
      </c>
      <c r="S40" s="1" t="str">
        <f>IFERROR(__xludf.DUMMYFUNCTION("""COMPUTED_VALUE"""),"Способы получения альдегидов")</f>
        <v>Способы получения альдегидов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  <c r="AA40" s="1"/>
      <c r="AB40" s="1"/>
    </row>
    <row r="41">
      <c r="A41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B41" s="1">
        <f>IFERROR(__xludf.DUMMYFUNCTION("""COMPUTED_VALUE"""),47.0)</f>
        <v>47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IFERROR(__xludf.DUMMYFUNCTION("""COMPUTED_VALUE"""),"Тип гибридизации атомов углерода в молекулах циклоалкенов")</f>
        <v>Тип гибридизации атомов углерода в молекулах циклоалкенов</v>
      </c>
      <c r="R41" s="1">
        <f>IFERROR(__xludf.DUMMYFUNCTION("""COMPUTED_VALUE"""),840.0)</f>
        <v>840</v>
      </c>
      <c r="S41" s="1" t="str">
        <f>IFERROR(__xludf.DUMMYFUNCTION("""COMPUTED_VALUE"""),"Способы получения кетонов")</f>
        <v>Способы получения кетонов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  <c r="AA41" s="1"/>
      <c r="AB41" s="1"/>
    </row>
    <row r="42">
      <c r="A42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42" s="1">
        <f>IFERROR(__xludf.DUMMYFUNCTION("""COMPUTED_VALUE"""),48.0)</f>
        <v>48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IFERROR(__xludf.DUMMYFUNCTION("""COMPUTED_VALUE"""),"Номенклатура циклоалкенов")</f>
        <v>Номенклатура циклоалкенов</v>
      </c>
      <c r="R42" s="1">
        <f>IFERROR(__xludf.DUMMYFUNCTION("""COMPUTED_VALUE"""),841.0)</f>
        <v>841</v>
      </c>
      <c r="S42" s="1" t="str">
        <f>IFERROR(__xludf.DUMMYFUNCTION("""COMPUTED_VALUE"""),"Применение альдегидов и кетонов")</f>
        <v>Применение альдегидов и кетонов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  <c r="AA42" s="1"/>
      <c r="AB42" s="1"/>
    </row>
    <row r="43">
      <c r="A43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43" s="1">
        <f>IFERROR(__xludf.DUMMYFUNCTION("""COMPUTED_VALUE"""),49.0)</f>
        <v>49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IFERROR(__xludf.DUMMYFUNCTION("""COMPUTED_VALUE"""),"Изомерия циклоалкенов")</f>
        <v>Изомерия циклоалкенов</v>
      </c>
      <c r="R43" s="1">
        <f>IFERROR(__xludf.DUMMYFUNCTION("""COMPUTED_VALUE"""),842.0)</f>
        <v>842</v>
      </c>
      <c r="S43" s="1" t="str">
        <f>IFERROR(__xludf.DUMMYFUNCTION("""COMPUTED_VALUE"""),"Умение определять карбоновые кислоты")</f>
        <v>Умение определять карбоновые кислоты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  <c r="AA43" s="1"/>
      <c r="AB43" s="1"/>
    </row>
    <row r="44">
      <c r="A44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44" s="1">
        <f>IFERROR(__xludf.DUMMYFUNCTION("""COMPUTED_VALUE"""),50.0)</f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IFERROR(__xludf.DUMMYFUNCTION("""COMPUTED_VALUE"""),"Физические свойства циклоалкенов")</f>
        <v>Физические свойства циклоалкенов</v>
      </c>
      <c r="R44" s="1">
        <f>IFERROR(__xludf.DUMMYFUNCTION("""COMPUTED_VALUE"""),843.0)</f>
        <v>843</v>
      </c>
      <c r="S44" s="1" t="str">
        <f>IFERROR(__xludf.DUMMYFUNCTION("""COMPUTED_VALUE"""),"Общие с неорганическими кислотами химические свойства карбоновых кислот")</f>
        <v>Общие с неорганическими кислотами химические свойства карбоновых кислот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  <c r="AA44" s="1"/>
      <c r="AB44" s="1"/>
    </row>
    <row r="45">
      <c r="A45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45" s="1">
        <f>IFERROR(__xludf.DUMMYFUNCTION("""COMPUTED_VALUE"""),52.0)</f>
        <v>52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IFERROR(__xludf.DUMMYFUNCTION("""COMPUTED_VALUE"""),"Способы получения циклоалкенов")</f>
        <v>Способы получения циклоалкенов</v>
      </c>
      <c r="R45" s="1">
        <f>IFERROR(__xludf.DUMMYFUNCTION("""COMPUTED_VALUE"""),844.0)</f>
        <v>844</v>
      </c>
      <c r="S45" s="1" t="str">
        <f>IFERROR(__xludf.DUMMYFUNCTION("""COMPUTED_VALUE"""),"Строение молекул карбоновых кислот")</f>
        <v>Строение молекул карбоновых кислот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  <c r="AA45" s="1"/>
      <c r="AB45" s="1"/>
    </row>
    <row r="46">
      <c r="A46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B46" s="1">
        <f>IFERROR(__xludf.DUMMYFUNCTION("""COMPUTED_VALUE"""),53.0)</f>
        <v>53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IFERROR(__xludf.DUMMYFUNCTION("""COMPUTED_VALUE"""),"Применение циклоалкенов")</f>
        <v>Применение циклоалкенов</v>
      </c>
      <c r="R46" s="1">
        <f>IFERROR(__xludf.DUMMYFUNCTION("""COMPUTED_VALUE"""),845.0)</f>
        <v>845</v>
      </c>
      <c r="S46" s="1" t="str">
        <f>IFERROR(__xludf.DUMMYFUNCTION("""COMPUTED_VALUE"""),"Тип гибридизации атомов углерода в молекулах карбоновых кислот")</f>
        <v>Тип гибридизации атомов углерода в молекулах карбоновых кислот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  <c r="AA46" s="1"/>
      <c r="AB46" s="1"/>
    </row>
    <row r="47">
      <c r="A47" s="1" t="str">
        <f>IFERROR(__xludf.DUMMYFUNCTION("""COMPUTED_VALUE"""),"Валентные электроны")</f>
        <v>Валентные электроны</v>
      </c>
      <c r="B47" s="1">
        <f>IFERROR(__xludf.DUMMYFUNCTION("""COMPUTED_VALUE"""),54.0)</f>
        <v>54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IFERROR(__xludf.DUMMYFUNCTION("""COMPUTED_VALUE"""),"Умение определять алкадиены")</f>
        <v>Умение определять алкадиены</v>
      </c>
      <c r="R47" s="1">
        <f>IFERROR(__xludf.DUMMYFUNCTION("""COMPUTED_VALUE"""),846.0)</f>
        <v>846</v>
      </c>
      <c r="S47" s="1" t="str">
        <f>IFERROR(__xludf.DUMMYFUNCTION("""COMPUTED_VALUE"""),"Номенклатура карбоновых кислот")</f>
        <v>Номенклатура карбоновых кислот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  <c r="AA47" s="1"/>
      <c r="AB47" s="1"/>
    </row>
    <row r="48">
      <c r="A48" s="1" t="str">
        <f>IFERROR(__xludf.DUMMYFUNCTION("""COMPUTED_VALUE"""),"Неспаренные электроны")</f>
        <v>Неспаренные электроны</v>
      </c>
      <c r="B48" s="1">
        <f>IFERROR(__xludf.DUMMYFUNCTION("""COMPUTED_VALUE"""),55.0)</f>
        <v>55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IFERROR(__xludf.DUMMYFUNCTION("""COMPUTED_VALUE"""),"Химические свойства алкадиенов - реакции присоединения")</f>
        <v>Химические свойства алкадиенов - реакции присоединения</v>
      </c>
      <c r="R48" s="1">
        <f>IFERROR(__xludf.DUMMYFUNCTION("""COMPUTED_VALUE"""),847.0)</f>
        <v>847</v>
      </c>
      <c r="S48" s="1" t="str">
        <f>IFERROR(__xludf.DUMMYFUNCTION("""COMPUTED_VALUE"""),"Изомерия карбоновых кислот")</f>
        <v>Изомерия карбоновых кислот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  <c r="AA48" s="1"/>
      <c r="AB48" s="1"/>
    </row>
    <row r="49">
      <c r="A49" s="1" t="str">
        <f>IFERROR(__xludf.DUMMYFUNCTION("""COMPUTED_VALUE"""),"Электронная конфигурация ионов")</f>
        <v>Электронная конфигурация ионов</v>
      </c>
      <c r="B49" s="1">
        <f>IFERROR(__xludf.DUMMYFUNCTION("""COMPUTED_VALUE"""),56.0)</f>
        <v>56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IFERROR(__xludf.DUMMYFUNCTION("""COMPUTED_VALUE"""),"Строение молекул алкадиенов")</f>
        <v>Строение молекул алкадиенов</v>
      </c>
      <c r="R49" s="1">
        <f>IFERROR(__xludf.DUMMYFUNCTION("""COMPUTED_VALUE"""),848.0)</f>
        <v>848</v>
      </c>
      <c r="S49" s="1" t="str">
        <f>IFERROR(__xludf.DUMMYFUNCTION("""COMPUTED_VALUE"""),"Физические свойства карбоновых кислот")</f>
        <v>Физические свойства карбоновых кислот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  <c r="AA49" s="1"/>
      <c r="AB49" s="1"/>
    </row>
    <row r="50">
      <c r="A50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B50" s="1">
        <f>IFERROR(__xludf.DUMMYFUNCTION("""COMPUTED_VALUE"""),57.0)</f>
        <v>57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IFERROR(__xludf.DUMMYFUNCTION("""COMPUTED_VALUE"""),"Тип гибридизации атомов углерода в молекулах алкадиенов")</f>
        <v>Тип гибридизации атомов углерода в молекулах алкадиенов</v>
      </c>
      <c r="R50" s="1">
        <f>IFERROR(__xludf.DUMMYFUNCTION("""COMPUTED_VALUE"""),849.0)</f>
        <v>849</v>
      </c>
      <c r="S50" s="1" t="str">
        <f>IFERROR(__xludf.DUMMYFUNCTION("""COMPUTED_VALUE"""),"Способы получения карбоновых кислот")</f>
        <v>Способы получения карбоновых кислот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  <c r="AA50" s="1"/>
      <c r="AB50" s="1"/>
    </row>
    <row r="51">
      <c r="A51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B51" s="1">
        <f>IFERROR(__xludf.DUMMYFUNCTION("""COMPUTED_VALUE"""),58.0)</f>
        <v>58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IFERROR(__xludf.DUMMYFUNCTION("""COMPUTED_VALUE"""),"Номенклатура алкадиенов")</f>
        <v>Номенклатура алкадиенов</v>
      </c>
      <c r="R51" s="1">
        <f>IFERROR(__xludf.DUMMYFUNCTION("""COMPUTED_VALUE"""),850.0)</f>
        <v>850</v>
      </c>
      <c r="S51" s="1" t="str">
        <f>IFERROR(__xludf.DUMMYFUNCTION("""COMPUTED_VALUE"""),"Применение карбоновых кислот")</f>
        <v>Применение карбоновых кислот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  <c r="AA51" s="1"/>
      <c r="AB51" s="1"/>
    </row>
    <row r="52">
      <c r="A52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B52" s="1">
        <f>IFERROR(__xludf.DUMMYFUNCTION("""COMPUTED_VALUE"""),59.0)</f>
        <v>59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IFERROR(__xludf.DUMMYFUNCTION("""COMPUTED_VALUE"""),"Изомерия алкадиенов")</f>
        <v>Изомерия алкадиенов</v>
      </c>
      <c r="R52" s="1">
        <f>IFERROR(__xludf.DUMMYFUNCTION("""COMPUTED_VALUE"""),851.0)</f>
        <v>851</v>
      </c>
      <c r="S52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  <c r="AA52" s="1"/>
      <c r="AB52" s="1"/>
    </row>
    <row r="53">
      <c r="A53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53" s="1">
        <f>IFERROR(__xludf.DUMMYFUNCTION("""COMPUTED_VALUE"""),60.0)</f>
        <v>60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IFERROR(__xludf.DUMMYFUNCTION("""COMPUTED_VALUE"""),"Физические свойства алкадиенов")</f>
        <v>Физические свойства алкадиенов</v>
      </c>
      <c r="R53" s="1">
        <f>IFERROR(__xludf.DUMMYFUNCTION("""COMPUTED_VALUE"""),852.0)</f>
        <v>852</v>
      </c>
      <c r="S53" s="1" t="str">
        <f>IFERROR(__xludf.DUMMYFUNCTION("""COMPUTED_VALUE"""),"Умение различать предельные, непредельные, ароматические карбоновые кислоты")</f>
        <v>Умение различать предельные, непредельные, ароматические карбоновые кислоты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  <c r="AA53" s="1"/>
      <c r="AB53" s="1"/>
    </row>
    <row r="54">
      <c r="A54" s="1" t="str">
        <f>IFERROR(__xludf.DUMMYFUNCTION("""COMPUTED_VALUE"""),"Высшая и низшая степени окисления. Случаи несовпадения валентности со степенью окисления")</f>
        <v>Высшая и низшая степени окисления. Случаи несовпадения валентности со степенью окисления</v>
      </c>
      <c r="B54" s="1">
        <f>IFERROR(__xludf.DUMMYFUNCTION("""COMPUTED_VALUE"""),61.0)</f>
        <v>61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IFERROR(__xludf.DUMMYFUNCTION("""COMPUTED_VALUE"""),"Способы получения алкадиенов")</f>
        <v>Способы получения алкадиенов</v>
      </c>
      <c r="R54" s="1">
        <f>IFERROR(__xludf.DUMMYFUNCTION("""COMPUTED_VALUE"""),853.0)</f>
        <v>853</v>
      </c>
      <c r="S54" s="1" t="str">
        <f>IFERROR(__xludf.DUMMYFUNCTION("""COMPUTED_VALUE"""),"Муравьиная кислота")</f>
        <v>Муравьиная кислота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  <c r="AA54" s="1"/>
      <c r="AB54" s="1"/>
    </row>
    <row r="55">
      <c r="A55" s="1" t="str">
        <f>IFERROR(__xludf.DUMMYFUNCTION("""COMPUTED_VALUE"""),"Умение составлять реакции ионного обмена на основе заданных условий")</f>
        <v>Умение составлять реакции ионного обмена на основе заданных условий</v>
      </c>
      <c r="B55" s="1">
        <f>IFERROR(__xludf.DUMMYFUNCTION("""COMPUTED_VALUE"""),62.0)</f>
        <v>62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IFERROR(__xludf.DUMMYFUNCTION("""COMPUTED_VALUE"""),"Применение алкадиенов")</f>
        <v>Применение алкадиенов</v>
      </c>
      <c r="R55" s="1">
        <f>IFERROR(__xludf.DUMMYFUNCTION("""COMPUTED_VALUE"""),854.0)</f>
        <v>854</v>
      </c>
      <c r="S55" s="1" t="str">
        <f>IFERROR(__xludf.DUMMYFUNCTION("""COMPUTED_VALUE"""),"Уксусная кислота")</f>
        <v>Уксусная кислота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  <c r="AA55" s="1"/>
      <c r="AB55" s="1"/>
    </row>
    <row r="56">
      <c r="A56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B56" s="1">
        <f>IFERROR(__xludf.DUMMYFUNCTION("""COMPUTED_VALUE"""),63.0)</f>
        <v>63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IFERROR(__xludf.DUMMYFUNCTION("""COMPUTED_VALUE"""),"Системы кратных связей. Изолированные, кумулированные и сопряженные связи")</f>
        <v>Системы кратных связей. Изолированные, кумулированные и сопряженные связи</v>
      </c>
      <c r="R56" s="1">
        <f>IFERROR(__xludf.DUMMYFUNCTION("""COMPUTED_VALUE"""),855.0)</f>
        <v>855</v>
      </c>
      <c r="S56" s="1" t="str">
        <f>IFERROR(__xludf.DUMMYFUNCTION("""COMPUTED_VALUE"""),"Пальмитиновая и стеариновая кислоты")</f>
        <v>Пальмитиновая и стеариновая кислоты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  <c r="AA56" s="1"/>
      <c r="AB56" s="1"/>
    </row>
    <row r="57">
      <c r="A57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B57" s="1">
        <f>IFERROR(__xludf.DUMMYFUNCTION("""COMPUTED_VALUE"""),64.0)</f>
        <v>64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R57" s="1">
        <f>IFERROR(__xludf.DUMMYFUNCTION("""COMPUTED_VALUE"""),856.0)</f>
        <v>856</v>
      </c>
      <c r="S57" s="1" t="str">
        <f>IFERROR(__xludf.DUMMYFUNCTION("""COMPUTED_VALUE"""),"Щавелевая кислота")</f>
        <v>Щавелевая кислота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  <c r="AA57" s="1"/>
      <c r="AB57" s="1"/>
    </row>
    <row r="58">
      <c r="A58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B58" s="1">
        <f>IFERROR(__xludf.DUMMYFUNCTION("""COMPUTED_VALUE"""),65.0)</f>
        <v>65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IFERROR(__xludf.DUMMYFUNCTION("""COMPUTED_VALUE"""),"Умение определять ароматические углеводороды")</f>
        <v>Умение определять ароматические углеводороды</v>
      </c>
      <c r="R58" s="1">
        <f>IFERROR(__xludf.DUMMYFUNCTION("""COMPUTED_VALUE"""),857.0)</f>
        <v>857</v>
      </c>
      <c r="S58" s="1" t="str">
        <f>IFERROR(__xludf.DUMMYFUNCTION("""COMPUTED_VALUE"""),"Производные акриловой и метакриловой кислот")</f>
        <v>Производные акриловой и метакриловой кислот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  <c r="AA58" s="1"/>
      <c r="AB58" s="1"/>
    </row>
    <row r="59">
      <c r="A59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B59" s="1">
        <f>IFERROR(__xludf.DUMMYFUNCTION("""COMPUTED_VALUE"""),66.0)</f>
        <v>66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IFERROR(__xludf.DUMMYFUNCTION("""COMPUTED_VALUE"""),"Химические свойства аренов - реакции присоединения")</f>
        <v>Химические свойства аренов - реакции присоединения</v>
      </c>
      <c r="R59" s="1">
        <f>IFERROR(__xludf.DUMMYFUNCTION("""COMPUTED_VALUE"""),858.0)</f>
        <v>858</v>
      </c>
      <c r="S59" s="1" t="str">
        <f>IFERROR(__xludf.DUMMYFUNCTION("""COMPUTED_VALUE"""),"Бензойная кислота")</f>
        <v>Бензойная кислота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  <c r="AA59" s="1"/>
      <c r="AB59" s="1"/>
    </row>
    <row r="60">
      <c r="A60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B60" s="1">
        <f>IFERROR(__xludf.DUMMYFUNCTION("""COMPUTED_VALUE"""),67.0)</f>
        <v>67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R60" s="1">
        <f>IFERROR(__xludf.DUMMYFUNCTION("""COMPUTED_VALUE"""),859.0)</f>
        <v>859</v>
      </c>
      <c r="S60" s="1" t="str">
        <f>IFERROR(__xludf.DUMMYFUNCTION("""COMPUTED_VALUE"""),"Фталевые кислоты")</f>
        <v>Фталевые кислоты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  <c r="AA60" s="1"/>
      <c r="AB60" s="1"/>
    </row>
    <row r="61">
      <c r="A61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B61" s="1">
        <f>IFERROR(__xludf.DUMMYFUNCTION("""COMPUTED_VALUE"""),68.0)</f>
        <v>68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IFERROR(__xludf.DUMMYFUNCTION("""COMPUTED_VALUE"""),"Тип гибридизации атомов углерода в молекулах ароматических углеводородов")</f>
        <v>Тип гибридизации атомов углерода в молекулах ароматических углеводородов</v>
      </c>
      <c r="R61" s="1">
        <f>IFERROR(__xludf.DUMMYFUNCTION("""COMPUTED_VALUE"""),860.0)</f>
        <v>860</v>
      </c>
      <c r="S61" s="1" t="str">
        <f>IFERROR(__xludf.DUMMYFUNCTION("""COMPUTED_VALUE"""),"Умение определять сложные эфиры")</f>
        <v>Умение определять сложные эфиры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  <c r="AA61" s="1"/>
      <c r="AB61" s="1"/>
    </row>
    <row r="62">
      <c r="A62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B62" s="1">
        <f>IFERROR(__xludf.DUMMYFUNCTION("""COMPUTED_VALUE"""),69.0)</f>
        <v>69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IFERROR(__xludf.DUMMYFUNCTION("""COMPUTED_VALUE"""),"Номенклатура ароматических углеводородов")</f>
        <v>Номенклатура ароматических углеводородов</v>
      </c>
      <c r="R62" s="1">
        <f>IFERROR(__xludf.DUMMYFUNCTION("""COMPUTED_VALUE"""),861.0)</f>
        <v>861</v>
      </c>
      <c r="S62" s="1" t="str">
        <f>IFERROR(__xludf.DUMMYFUNCTION("""COMPUTED_VALUE"""),"Химические свойства сложных эфиров")</f>
        <v>Химические свойства сложных эфиров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  <c r="AA62" s="1"/>
      <c r="AB62" s="1"/>
    </row>
    <row r="63">
      <c r="A63" s="1" t="str">
        <f>IFERROR(__xludf.DUMMYFUNCTION("""COMPUTED_VALUE"""),"Полное и сокращенное ионные уравнения")</f>
        <v>Полное и сокращенное ионные уравнения</v>
      </c>
      <c r="B63" s="1">
        <f>IFERROR(__xludf.DUMMYFUNCTION("""COMPUTED_VALUE"""),70.0)</f>
        <v>70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IFERROR(__xludf.DUMMYFUNCTION("""COMPUTED_VALUE"""),"Изомерия ароматических углеводородов")</f>
        <v>Изомерия ароматических углеводородов</v>
      </c>
      <c r="R63" s="1">
        <f>IFERROR(__xludf.DUMMYFUNCTION("""COMPUTED_VALUE"""),862.0)</f>
        <v>862</v>
      </c>
      <c r="S63" s="1" t="str">
        <f>IFERROR(__xludf.DUMMYFUNCTION("""COMPUTED_VALUE"""),"Строение молекул сложных эфиров")</f>
        <v>Строение молекул сложных эфиров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  <c r="AA63" s="1"/>
      <c r="AB63" s="1"/>
    </row>
    <row r="64">
      <c r="A64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B64" s="1">
        <f>IFERROR(__xludf.DUMMYFUNCTION("""COMPUTED_VALUE"""),71.0)</f>
        <v>71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IFERROR(__xludf.DUMMYFUNCTION("""COMPUTED_VALUE"""),"Физические свойства ароматических углеводородов")</f>
        <v>Физические свойства ароматических углеводородов</v>
      </c>
      <c r="R64" s="1">
        <f>IFERROR(__xludf.DUMMYFUNCTION("""COMPUTED_VALUE"""),863.0)</f>
        <v>863</v>
      </c>
      <c r="S64" s="1" t="str">
        <f>IFERROR(__xludf.DUMMYFUNCTION("""COMPUTED_VALUE"""),"Тип гибридизации атомов углерода в молекулах сложных эфиров")</f>
        <v>Тип гибридизации атомов углерода в молекулах сложных эфиров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  <c r="AA64" s="1"/>
      <c r="AB64" s="1"/>
    </row>
    <row r="65">
      <c r="A65" s="1" t="str">
        <f>IFERROR(__xludf.DUMMYFUNCTION("""COMPUTED_VALUE"""),"Классификация электролитов")</f>
        <v>Классификация электролитов</v>
      </c>
      <c r="B65" s="1">
        <f>IFERROR(__xludf.DUMMYFUNCTION("""COMPUTED_VALUE"""),72.0)</f>
        <v>72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IFERROR(__xludf.DUMMYFUNCTION("""COMPUTED_VALUE"""),"Способы получения ароматических углеводородов")</f>
        <v>Способы получения ароматических углеводородов</v>
      </c>
      <c r="R65" s="1">
        <f>IFERROR(__xludf.DUMMYFUNCTION("""COMPUTED_VALUE"""),864.0)</f>
        <v>864</v>
      </c>
      <c r="S65" s="1" t="str">
        <f>IFERROR(__xludf.DUMMYFUNCTION("""COMPUTED_VALUE"""),"Номенклатура сложных эфиров")</f>
        <v>Номенклатура сложных эфиров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  <c r="AA65" s="1"/>
      <c r="AB65" s="1"/>
    </row>
    <row r="66">
      <c r="A66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B66" s="1">
        <f>IFERROR(__xludf.DUMMYFUNCTION("""COMPUTED_VALUE"""),73.0)</f>
        <v>73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IFERROR(__xludf.DUMMYFUNCTION("""COMPUTED_VALUE"""),"Применение ароматических углеводородов")</f>
        <v>Применение ароматических углеводородов</v>
      </c>
      <c r="R66" s="1">
        <f>IFERROR(__xludf.DUMMYFUNCTION("""COMPUTED_VALUE"""),865.0)</f>
        <v>865</v>
      </c>
      <c r="S66" s="1" t="str">
        <f>IFERROR(__xludf.DUMMYFUNCTION("""COMPUTED_VALUE"""),"Изомерия сложных эфиров")</f>
        <v>Изомерия сложных эфиров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  <c r="AA66" s="1"/>
      <c r="AB66" s="1"/>
    </row>
    <row r="67">
      <c r="A67" s="1" t="str">
        <f>IFERROR(__xludf.DUMMYFUNCTION("""COMPUTED_VALUE"""),"Электролиз расплавов и растворов веществ")</f>
        <v>Электролиз расплавов и растворов веществ</v>
      </c>
      <c r="B67" s="1">
        <f>IFERROR(__xludf.DUMMYFUNCTION("""COMPUTED_VALUE"""),74.0)</f>
        <v>74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IFERROR(__xludf.DUMMYFUNCTION("""COMPUTED_VALUE"""),"Правила ориентации Голлемана")</f>
        <v>Правила ориентации Голлемана</v>
      </c>
      <c r="R67" s="1">
        <f>IFERROR(__xludf.DUMMYFUNCTION("""COMPUTED_VALUE"""),866.0)</f>
        <v>866</v>
      </c>
      <c r="S67" s="1" t="str">
        <f>IFERROR(__xludf.DUMMYFUNCTION("""COMPUTED_VALUE"""),"Физические свойства сложных эфиров")</f>
        <v>Физические свойства сложных эфиров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  <c r="AA67" s="1"/>
      <c r="AB67" s="1"/>
    </row>
    <row r="68">
      <c r="A6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B68" s="1">
        <f>IFERROR(__xludf.DUMMYFUNCTION("""COMPUTED_VALUE"""),75.0)</f>
        <v>75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IFERROR(__xludf.DUMMYFUNCTION("""COMPUTED_VALUE"""),"Природные источники углеводородов. Нефть и её переработка")</f>
        <v>Природные источники углеводородов. Нефть и её переработка</v>
      </c>
      <c r="R68" s="1">
        <f>IFERROR(__xludf.DUMMYFUNCTION("""COMPUTED_VALUE"""),867.0)</f>
        <v>867</v>
      </c>
      <c r="S68" s="1" t="str">
        <f>IFERROR(__xludf.DUMMYFUNCTION("""COMPUTED_VALUE"""),"Способы получения сложных эфиров")</f>
        <v>Способы получения сложных эфиров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 t="str">
        <f>IFERROR(__xludf.DUMMYFUNCTION("""COMPUTED_VALUE"""),"Химические свойства аренов - реакции замещения")</f>
        <v>Химические свойства аренов - реакции замещения</v>
      </c>
      <c r="R69" s="1">
        <f>IFERROR(__xludf.DUMMYFUNCTION("""COMPUTED_VALUE"""),868.0)</f>
        <v>868</v>
      </c>
      <c r="S69" s="1" t="str">
        <f>IFERROR(__xludf.DUMMYFUNCTION("""COMPUTED_VALUE"""),"Применение сложных эфиров")</f>
        <v>Применение сложных эфиров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 t="str">
        <f>IFERROR(__xludf.DUMMYFUNCTION("""COMPUTED_VALUE"""),"Окисление аренов")</f>
        <v>Окисление аренов</v>
      </c>
      <c r="R70" s="1">
        <f>IFERROR(__xludf.DUMMYFUNCTION("""COMPUTED_VALUE"""),869.0)</f>
        <v>869</v>
      </c>
      <c r="S70" s="1" t="str">
        <f>IFERROR(__xludf.DUMMYFUNCTION("""COMPUTED_VALUE"""),"Физические свойства жиров")</f>
        <v>Физические свойства жиров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tr">
        <f>IFERROR(__xludf.DUMMYFUNCTION("""COMPUTED_VALUE"""),"Полимеризация алкадиенов")</f>
        <v>Полимеризация алкадиенов</v>
      </c>
      <c r="R71" s="1">
        <f>IFERROR(__xludf.DUMMYFUNCTION("""COMPUTED_VALUE"""),870.0)</f>
        <v>870</v>
      </c>
      <c r="S71" s="1" t="str">
        <f>IFERROR(__xludf.DUMMYFUNCTION("""COMPUTED_VALUE"""),"Химические свойства жиров")</f>
        <v>Химические свойства жиров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 t="str">
        <f>IFERROR(__xludf.DUMMYFUNCTION("""COMPUTED_VALUE"""),"Окисление алкадиенов")</f>
        <v>Окисление алкадиенов</v>
      </c>
      <c r="R72" s="1">
        <f>IFERROR(__xludf.DUMMYFUNCTION("""COMPUTED_VALUE"""),871.0)</f>
        <v>871</v>
      </c>
      <c r="S72" s="1" t="str">
        <f>IFERROR(__xludf.DUMMYFUNCTION("""COMPUTED_VALUE"""),"Применение жиров")</f>
        <v>Применение жиров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 t="str">
        <f>IFERROR(__xludf.DUMMYFUNCTION("""COMPUTED_VALUE"""),"Полимеризация алкинов")</f>
        <v>Полимеризация алкинов</v>
      </c>
      <c r="R73" s="1">
        <f>IFERROR(__xludf.DUMMYFUNCTION("""COMPUTED_VALUE"""),872.0)</f>
        <v>872</v>
      </c>
      <c r="S73" s="1" t="str">
        <f>IFERROR(__xludf.DUMMYFUNCTION("""COMPUTED_VALUE"""),"Умение различать моносахариды, дисахариды, олиго- и полисахариды")</f>
        <v>Умение различать моносахариды, дисахариды, олиго- и полисахариды</v>
      </c>
      <c r="T73" s="1">
        <f>IFERROR(__xludf.DUMMYFUNCTION("""COMPUTED_VALUE"""),972.0)</f>
        <v>972</v>
      </c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 t="str">
        <f>IFERROR(__xludf.DUMMYFUNCTION("""COMPUTED_VALUE"""),"Химические свойства алкинов - реакции замещения")</f>
        <v>Химические свойства алкинов - реакции замещения</v>
      </c>
      <c r="R74" s="1">
        <f>IFERROR(__xludf.DUMMYFUNCTION("""COMPUTED_VALUE"""),873.0)</f>
        <v>873</v>
      </c>
      <c r="S74" s="1" t="str">
        <f>IFERROR(__xludf.DUMMYFUNCTION("""COMPUTED_VALUE"""),"Глюкоза, ее строение и свойства")</f>
        <v>Глюкоза, ее строение и свойства</v>
      </c>
      <c r="T74" s="1">
        <f>IFERROR(__xludf.DUMMYFUNCTION("""COMPUTED_VALUE"""),973.0)</f>
        <v>973</v>
      </c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 t="str">
        <f>IFERROR(__xludf.DUMMYFUNCTION("""COMPUTED_VALUE"""),"Окисление алкенов")</f>
        <v>Окисление алкенов</v>
      </c>
      <c r="R75" s="1">
        <f>IFERROR(__xludf.DUMMYFUNCTION("""COMPUTED_VALUE"""),874.0)</f>
        <v>874</v>
      </c>
      <c r="S75" s="1" t="str">
        <f>IFERROR(__xludf.DUMMYFUNCTION("""COMPUTED_VALUE"""),"Фруктоза, её строение и свойства")</f>
        <v>Фруктоза, её строение и свойства</v>
      </c>
      <c r="T75" s="1">
        <f>IFERROR(__xludf.DUMMYFUNCTION("""COMPUTED_VALUE"""),974.0)</f>
        <v>974</v>
      </c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 t="str">
        <f>IFERROR(__xludf.DUMMYFUNCTION("""COMPUTED_VALUE"""),"Полимеризация алкенов")</f>
        <v>Полимеризация алкенов</v>
      </c>
      <c r="R76" s="1">
        <f>IFERROR(__xludf.DUMMYFUNCTION("""COMPUTED_VALUE"""),875.0)</f>
        <v>875</v>
      </c>
      <c r="S76" s="1" t="str">
        <f>IFERROR(__xludf.DUMMYFUNCTION("""COMPUTED_VALUE"""),"Сахароза, мальтоза и лактоза")</f>
        <v>Сахароза, мальтоза и лактоза</v>
      </c>
      <c r="T76" s="1">
        <f>IFERROR(__xludf.DUMMYFUNCTION("""COMPUTED_VALUE"""),975.0)</f>
        <v>975</v>
      </c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 t="str">
        <f>IFERROR(__xludf.DUMMYFUNCTION("""COMPUTED_VALUE"""),"Химические свойства алкенов - реакции замещения")</f>
        <v>Химические свойства алкенов - реакции замещения</v>
      </c>
      <c r="R77" s="1">
        <f>IFERROR(__xludf.DUMMYFUNCTION("""COMPUTED_VALUE"""),876.0)</f>
        <v>876</v>
      </c>
      <c r="S77" s="1" t="str">
        <f>IFERROR(__xludf.DUMMYFUNCTION("""COMPUTED_VALUE"""),"Химические свойства дисахаридов")</f>
        <v>Химические свойства дисахаридов</v>
      </c>
      <c r="T77" s="1">
        <f>IFERROR(__xludf.DUMMYFUNCTION("""COMPUTED_VALUE"""),976.0)</f>
        <v>976</v>
      </c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 t="str">
        <f>IFERROR(__xludf.DUMMYFUNCTION("""COMPUTED_VALUE"""),"Окисление алкенов")</f>
        <v>Окисление алкенов</v>
      </c>
      <c r="R78" s="1">
        <f>IFERROR(__xludf.DUMMYFUNCTION("""COMPUTED_VALUE"""),877.0)</f>
        <v>877</v>
      </c>
      <c r="S78" s="1" t="str">
        <f>IFERROR(__xludf.DUMMYFUNCTION("""COMPUTED_VALUE"""),"Целлюлоза, ее строение и свойства")</f>
        <v>Целлюлоза, ее строение и свойства</v>
      </c>
      <c r="T78" s="1">
        <f>IFERROR(__xludf.DUMMYFUNCTION("""COMPUTED_VALUE"""),977.0)</f>
        <v>977</v>
      </c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 t="str">
        <f>IFERROR(__xludf.DUMMYFUNCTION("""COMPUTED_VALUE"""),"Реакции окисления алканов")</f>
        <v>Реакции окисления алканов</v>
      </c>
      <c r="R79" s="1">
        <f>IFERROR(__xludf.DUMMYFUNCTION("""COMPUTED_VALUE"""),878.0)</f>
        <v>878</v>
      </c>
      <c r="S79" s="1" t="str">
        <f>IFERROR(__xludf.DUMMYFUNCTION("""COMPUTED_VALUE"""),"Крахмал, его строение и свойства")</f>
        <v>Крахмал, его строение и свойства</v>
      </c>
      <c r="T79" s="1">
        <f>IFERROR(__xludf.DUMMYFUNCTION("""COMPUTED_VALUE"""),978.0)</f>
        <v>978</v>
      </c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 t="str">
        <f>IFERROR(__xludf.DUMMYFUNCTION("""COMPUTED_VALUE"""),"Термические превращения алканов")</f>
        <v>Термические превращения алканов</v>
      </c>
      <c r="R80" s="1">
        <f>IFERROR(__xludf.DUMMYFUNCTION("""COMPUTED_VALUE"""),879.0)</f>
        <v>879</v>
      </c>
      <c r="S80" s="1" t="str">
        <f>IFERROR(__xludf.DUMMYFUNCTION("""COMPUTED_VALUE"""),"Применение этиленгликоля и глицерина")</f>
        <v>Применение этиленгликоля и глицерина</v>
      </c>
      <c r="T80" s="1">
        <f>IFERROR(__xludf.DUMMYFUNCTION("""COMPUTED_VALUE"""),979.0)</f>
        <v>979</v>
      </c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 t="str">
        <f>IFERROR(__xludf.DUMMYFUNCTION("""COMPUTED_VALUE"""),"Применение фенола")</f>
        <v>Применение фенола</v>
      </c>
      <c r="T81" s="1">
        <f>IFERROR(__xludf.DUMMYFUNCTION("""COMPUTED_VALUE"""),980.0)</f>
        <v>980</v>
      </c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 t="str">
        <f>IFERROR(__xludf.DUMMYFUNCTION("""COMPUTED_VALUE"""),"Применение формальдегида и ацетальдегида")</f>
        <v>Применение формальдегида и ацетальдегида</v>
      </c>
      <c r="T82" s="1">
        <f>IFERROR(__xludf.DUMMYFUNCTION("""COMPUTED_VALUE"""),981.0)</f>
        <v>981</v>
      </c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 t="str">
        <f>IFERROR(__xludf.DUMMYFUNCTION("""COMPUTED_VALUE"""),"Применение уксусной кислоты")</f>
        <v>Применение уксусной кислоты</v>
      </c>
      <c r="T83" s="1">
        <f>IFERROR(__xludf.DUMMYFUNCTION("""COMPUTED_VALUE"""),982.0)</f>
        <v>982</v>
      </c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T84" s="1">
        <f>IFERROR(__xludf.DUMMYFUNCTION("""COMPUTED_VALUE"""),983.0)</f>
        <v>983</v>
      </c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tr">
        <f>IFERROR(__xludf.DUMMYFUNCTION("""COMPUTED_VALUE"""),"Применение ацетона")</f>
        <v>Применение ацетона</v>
      </c>
      <c r="T85" s="1">
        <f>IFERROR(__xludf.DUMMYFUNCTION("""COMPUTED_VALUE"""),984.0)</f>
        <v>984</v>
      </c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tr">
        <f>IFERROR(__xludf.DUMMYFUNCTION("""COMPUTED_VALUE"""),"Применение метанола и этанола")</f>
        <v>Применение метанола и этанола</v>
      </c>
      <c r="T86" s="1">
        <f>IFERROR(__xludf.DUMMYFUNCTION("""COMPUTED_VALUE"""),985.0)</f>
        <v>985</v>
      </c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T87" s="1">
        <f>IFERROR(__xludf.DUMMYFUNCTION("""COMPUTED_VALUE"""),986.0)</f>
        <v>986</v>
      </c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 t="str">
        <f>IFERROR(__xludf.DUMMYFUNCTION("""COMPUTED_VALUE"""),"Химические свойства ангидридов карбоновых кислот")</f>
        <v>Химические свойства ангидридов карбоновых кислот</v>
      </c>
      <c r="T88" s="1">
        <f>IFERROR(__xludf.DUMMYFUNCTION("""COMPUTED_VALUE"""),987.0)</f>
        <v>987</v>
      </c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str">
        <f>IFERROR(__xludf.DUMMYFUNCTION("""COMPUTED_VALUE"""),"Умение определять галогенопроизводные углеводородов")</f>
        <v>Умение определять галогенопроизводные углеводородов</v>
      </c>
      <c r="T89" s="1">
        <f>IFERROR(__xludf.DUMMYFUNCTION("""COMPUTED_VALUE"""),988.0)</f>
        <v>988</v>
      </c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 t="str">
        <f>IFERROR(__xludf.DUMMYFUNCTION("""COMPUTED_VALUE"""),"Химические свойства галогенопроизводных углеводородов")</f>
        <v>Химические свойства галогенопроизводных углеводородов</v>
      </c>
      <c r="T90" s="1">
        <f>IFERROR(__xludf.DUMMYFUNCTION("""COMPUTED_VALUE"""),989.0)</f>
        <v>989</v>
      </c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 t="str">
        <f>IFERROR(__xludf.DUMMYFUNCTION("""COMPUTED_VALUE"""),"Получение ангидридов карбоновых кислот.")</f>
        <v>Получение ангидридов карбоновых кислот.</v>
      </c>
      <c r="T91" s="1">
        <f>IFERROR(__xludf.DUMMYFUNCTION("""COMPUTED_VALUE"""),990.0)</f>
        <v>990</v>
      </c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 t="str">
        <f>IFERROR(__xludf.DUMMYFUNCTION("""COMPUTED_VALUE"""),"Получение галогенангидридов карбоновых кислот.")</f>
        <v>Получение галогенангидридов карбоновых кислот.</v>
      </c>
      <c r="T92" s="1">
        <f>IFERROR(__xludf.DUMMYFUNCTION("""COMPUTED_VALUE"""),991.0)</f>
        <v>991</v>
      </c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 t="str">
        <f>IFERROR(__xludf.DUMMYFUNCTION("""COMPUTED_VALUE"""),"Химические свойства галогенангидридов карбоновых кислот")</f>
        <v>Химические свойства галогенангидридов карбоновых кислот</v>
      </c>
      <c r="T93" s="1">
        <f>IFERROR(__xludf.DUMMYFUNCTION("""COMPUTED_VALUE"""),992.0)</f>
        <v>992</v>
      </c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 t="str">
        <f>IFERROR(__xludf.DUMMYFUNCTION("""COMPUTED_VALUE"""),"Умение определять галогенангидриды карбоновых кислот")</f>
        <v>Умение определять галогенангидриды карбоновых кислот</v>
      </c>
      <c r="T94" s="1">
        <f>IFERROR(__xludf.DUMMYFUNCTION("""COMPUTED_VALUE"""),993.0)</f>
        <v>993</v>
      </c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 t="str">
        <f>IFERROR(__xludf.DUMMYFUNCTION("""COMPUTED_VALUE"""),"Специфические химические свойства карбоновых кислот")</f>
        <v>Специфические химические свойства карбоновых кислот</v>
      </c>
      <c r="T95" s="1">
        <f>IFERROR(__xludf.DUMMYFUNCTION("""COMPUTED_VALUE"""),994.0)</f>
        <v>994</v>
      </c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 t="str">
        <f>IFERROR(__xludf.DUMMYFUNCTION("""COMPUTED_VALUE"""),"Химические свойства солей карбоновых кислот")</f>
        <v>Химические свойства солей карбоновых кислот</v>
      </c>
      <c r="T96" s="1">
        <f>IFERROR(__xludf.DUMMYFUNCTION("""COMPUTED_VALUE"""),995.0)</f>
        <v>995</v>
      </c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 t="str">
        <f>IFERROR(__xludf.DUMMYFUNCTION("""COMPUTED_VALUE"""),"Химические свойства альдегидов - реакции полимеризации и поликонденсации")</f>
        <v>Химические свойства альдегидов - реакции полимеризации и поликонденсации</v>
      </c>
      <c r="T97" s="1">
        <f>IFERROR(__xludf.DUMMYFUNCTION("""COMPUTED_VALUE"""),996.0)</f>
        <v>996</v>
      </c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 t="str">
        <f>IFERROR(__xludf.DUMMYFUNCTION("""COMPUTED_VALUE"""),"Окисление альдегидов")</f>
        <v>Окисление альдегидов</v>
      </c>
      <c r="T98" s="1">
        <f>IFERROR(__xludf.DUMMYFUNCTION("""COMPUTED_VALUE"""),997.0)</f>
        <v>997</v>
      </c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 t="str">
        <f>IFERROR(__xludf.DUMMYFUNCTION("""COMPUTED_VALUE"""),"Качественные реакции на альдегиды")</f>
        <v>Качественные реакции на альдегиды</v>
      </c>
      <c r="T99" s="1">
        <f>IFERROR(__xludf.DUMMYFUNCTION("""COMPUTED_VALUE"""),998.0)</f>
        <v>998</v>
      </c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 t="str">
        <f>IFERROR(__xludf.DUMMYFUNCTION("""COMPUTED_VALUE"""),"Качественные реакции на фенол")</f>
        <v>Качественные реакции на фенол</v>
      </c>
      <c r="T100" s="1">
        <f>IFERROR(__xludf.DUMMYFUNCTION("""COMPUTED_VALUE"""),999.0)</f>
        <v>999</v>
      </c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 t="str">
        <f>IFERROR(__xludf.DUMMYFUNCTION("""COMPUTED_VALUE"""),"Качественные реакции на многоатомные спирты")</f>
        <v>Качественные реакции на многоатомные спирты</v>
      </c>
      <c r="T101" s="1">
        <f>IFERROR(__xludf.DUMMYFUNCTION("""COMPUTED_VALUE"""),1301.0)</f>
        <v>1301</v>
      </c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 t="str">
        <f>IFERROR(__xludf.DUMMYFUNCTION("""COMPUTED_VALUE"""),"Химические свойства одноатомных спиртов - реакции с разрывом связи С-О")</f>
        <v>Химические свойства одноатомных спиртов - реакции с разрывом связи С-О</v>
      </c>
      <c r="T102" s="1">
        <f>IFERROR(__xludf.DUMMYFUNCTION("""COMPUTED_VALUE"""),1302.0)</f>
        <v>1302</v>
      </c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 t="str">
        <f>IFERROR(__xludf.DUMMYFUNCTION("""COMPUTED_VALUE"""),"Окисление одноатомных спиртов")</f>
        <v>Окисление одноатомных спиртов</v>
      </c>
      <c r="T103" s="1">
        <f>IFERROR(__xludf.DUMMYFUNCTION("""COMPUTED_VALUE"""),1303.0)</f>
        <v>1303</v>
      </c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 t="str">
        <f>IFERROR(__xludf.DUMMYFUNCTION("""COMPUTED_VALUE"""),"Качественные реакции на одноатомные спирты")</f>
        <v>Качественные реакции на одноатомные спирты</v>
      </c>
      <c r="T104" s="1">
        <f>IFERROR(__xludf.DUMMYFUNCTION("""COMPUTED_VALUE"""),1304.0)</f>
        <v>1304</v>
      </c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