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IFERROR(__xludf.DUMMYFUNCTION("IMPORTRANGE(""https://docs.google.com/spreadsheets/d/1KskMnqsN4JNdZ3CMrQ5JtvyHtvVfBUs3jxx7frqFA_g/edit?usp=sharing"",""УМИТЫ!A:Z"")"),"Навыки и умения")</f>
        <v>Навыки и умения</v>
      </c>
      <c r="B1" s="1"/>
      <c r="C1" s="1" t="str">
        <f>IFERROR(__xludf.DUMMYFUNCTION("""COMPUTED_VALUE"""),"Кодирование")</f>
        <v>Кодирование</v>
      </c>
      <c r="D1" s="1"/>
      <c r="E1" s="1" t="str">
        <f>IFERROR(__xludf.DUMMYFUNCTION("""COMPUTED_VALUE"""),"Таблицы и графы, динамика")</f>
        <v>Таблицы и графы, динамика</v>
      </c>
      <c r="F1" s="1"/>
      <c r="G1" s="1" t="str">
        <f>IFERROR(__xludf.DUMMYFUNCTION("""COMPUTED_VALUE"""),"Программирование")</f>
        <v>Программирование</v>
      </c>
      <c r="H1" s="1"/>
      <c r="I1" s="1" t="str">
        <f>IFERROR(__xludf.DUMMYFUNCTION("""COMPUTED_VALUE"""),"Теория игр")</f>
        <v>Теория игр</v>
      </c>
      <c r="J1" s="1"/>
      <c r="K1" s="1" t="str">
        <f>IFERROR(__xludf.DUMMYFUNCTION("""COMPUTED_VALUE"""),"Комбинаторика")</f>
        <v>Комбинаторика</v>
      </c>
      <c r="L1" s="1"/>
      <c r="M1" s="1" t="str">
        <f>IFERROR(__xludf.DUMMYFUNCTION("""COMPUTED_VALUE"""),"Алгебра логики")</f>
        <v>Алгебра логики</v>
      </c>
      <c r="N1" s="1"/>
      <c r="O1" s="1" t="str">
        <f>IFERROR(__xludf.DUMMYFUNCTION("""COMPUTED_VALUE"""),"Алгоритмы")</f>
        <v>Алгоритмы</v>
      </c>
      <c r="P1" s="1"/>
      <c r="Q1" s="1" t="str">
        <f>IFERROR(__xludf.DUMMYFUNCTION("""COMPUTED_VALUE"""),"Системы счисления")</f>
        <v>Системы счисления</v>
      </c>
      <c r="R1" s="1"/>
      <c r="S1" s="1" t="str">
        <f>IFERROR(__xludf.DUMMYFUNCTION("""COMPUTED_VALUE"""),"Файлы и таблицы, презентации")</f>
        <v>Файлы и таблицы, презентации</v>
      </c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IFERROR(__xludf.DUMMYFUNCTION("""COMPUTED_VALUE"""),"Умения выполнять арифметические действия ")</f>
        <v>Умения выполнять арифметические действия </v>
      </c>
      <c r="B2" s="1">
        <f>IFERROR(__xludf.DUMMYFUNCTION("""COMPUTED_VALUE"""),1.0)</f>
        <v>1</v>
      </c>
      <c r="C2" s="1" t="str">
        <f>IFERROR(__xludf.DUMMYFUNCTION("""COMPUTED_VALUE"""),"Условие Фано")</f>
        <v>Условие Фано</v>
      </c>
      <c r="D2" s="1">
        <f>IFERROR(__xludf.DUMMYFUNCTION("""COMPUTED_VALUE"""),101.0)</f>
        <v>101</v>
      </c>
      <c r="E2" s="1" t="str">
        <f>IFERROR(__xludf.DUMMYFUNCTION("""COMPUTED_VALUE"""),"Алгоритм Дейкстры")</f>
        <v>Алгоритм Дейкстры</v>
      </c>
      <c r="F2" s="1">
        <f>IFERROR(__xludf.DUMMYFUNCTION("""COMPUTED_VALUE"""),201.0)</f>
        <v>201</v>
      </c>
      <c r="G2" s="1" t="str">
        <f>IFERROR(__xludf.DUMMYFUNCTION("""COMPUTED_VALUE"""),"Переменные ")</f>
        <v>Переменные </v>
      </c>
      <c r="H2" s="1">
        <f>IFERROR(__xludf.DUMMYFUNCTION("""COMPUTED_VALUE"""),301.0)</f>
        <v>301</v>
      </c>
      <c r="I2" s="1" t="str">
        <f>IFERROR(__xludf.DUMMYFUNCTION("""COMPUTED_VALUE"""),"Выигрышная позиция ")</f>
        <v>Выигрышная позиция </v>
      </c>
      <c r="J2" s="1">
        <f>IFERROR(__xludf.DUMMYFUNCTION("""COMPUTED_VALUE"""),401.0)</f>
        <v>401</v>
      </c>
      <c r="K2" s="1" t="str">
        <f>IFERROR(__xludf.DUMMYFUNCTION("""COMPUTED_VALUE"""),"Системы счисления")</f>
        <v>Системы счисления</v>
      </c>
      <c r="L2" s="1">
        <f>IFERROR(__xludf.DUMMYFUNCTION("""COMPUTED_VALUE"""),501.0)</f>
        <v>501</v>
      </c>
      <c r="M2" s="1" t="str">
        <f>IFERROR(__xludf.DUMMYFUNCTION("""COMPUTED_VALUE"""),"Таблицы истинности")</f>
        <v>Таблицы истинности</v>
      </c>
      <c r="N2" s="1">
        <f>IFERROR(__xludf.DUMMYFUNCTION("""COMPUTED_VALUE"""),601.0)</f>
        <v>601</v>
      </c>
      <c r="O2" s="1" t="str">
        <f>IFERROR(__xludf.DUMMYFUNCTION("""COMPUTED_VALUE"""),"Двоичная сс")</f>
        <v>Двоичная сс</v>
      </c>
      <c r="P2" s="1">
        <f>IFERROR(__xludf.DUMMYFUNCTION("""COMPUTED_VALUE"""),701.0)</f>
        <v>701</v>
      </c>
      <c r="Q2" s="1" t="str">
        <f>IFERROR(__xludf.DUMMYFUNCTION("""COMPUTED_VALUE"""),"10-ричная сс")</f>
        <v>10-ричная сс</v>
      </c>
      <c r="R2" s="1">
        <f>IFERROR(__xludf.DUMMYFUNCTION("""COMPUTED_VALUE"""),801.0)</f>
        <v>801</v>
      </c>
      <c r="S2" s="1" t="str">
        <f>IFERROR(__xludf.DUMMYFUNCTION("""COMPUTED_VALUE"""),"Относительная адресация")</f>
        <v>Относительная адресация</v>
      </c>
      <c r="T2" s="1">
        <f>IFERROR(__xludf.DUMMYFUNCTION("""COMPUTED_VALUE"""),901.0)</f>
        <v>901</v>
      </c>
      <c r="U2" s="1"/>
      <c r="V2" s="1"/>
      <c r="W2" s="1"/>
      <c r="X2" s="1"/>
      <c r="Y2" s="1"/>
      <c r="Z2" s="1"/>
    </row>
    <row r="3">
      <c r="A3" s="1" t="str">
        <f>IFERROR(__xludf.DUMMYFUNCTION("""COMPUTED_VALUE"""),"Умение считать остаток от деления")</f>
        <v>Умение считать остаток от деления</v>
      </c>
      <c r="B3" s="1">
        <f>IFERROR(__xludf.DUMMYFUNCTION("""COMPUTED_VALUE"""),2.0)</f>
        <v>2</v>
      </c>
      <c r="C3" s="1" t="str">
        <f>IFERROR(__xludf.DUMMYFUNCTION("""COMPUTED_VALUE"""),"Обратное условие Фано")</f>
        <v>Обратное условие Фано</v>
      </c>
      <c r="D3" s="1">
        <f>IFERROR(__xludf.DUMMYFUNCTION("""COMPUTED_VALUE"""),102.0)</f>
        <v>102</v>
      </c>
      <c r="E3" s="1" t="str">
        <f>IFERROR(__xludf.DUMMYFUNCTION("""COMPUTED_VALUE"""),"Работа с таблицами")</f>
        <v>Работа с таблицами</v>
      </c>
      <c r="F3" s="1">
        <f>IFERROR(__xludf.DUMMYFUNCTION("""COMPUTED_VALUE"""),202.0)</f>
        <v>202</v>
      </c>
      <c r="G3" s="1" t="str">
        <f>IFERROR(__xludf.DUMMYFUNCTION("""COMPUTED_VALUE"""),"Цикл for")</f>
        <v>Цикл for</v>
      </c>
      <c r="H3" s="1">
        <f>IFERROR(__xludf.DUMMYFUNCTION("""COMPUTED_VALUE"""),302.0)</f>
        <v>302</v>
      </c>
      <c r="I3" s="1" t="str">
        <f>IFERROR(__xludf.DUMMYFUNCTION("""COMPUTED_VALUE"""),"Проигрышная позиция ")</f>
        <v>Проигрышная позиция </v>
      </c>
      <c r="J3" s="1">
        <f>IFERROR(__xludf.DUMMYFUNCTION("""COMPUTED_VALUE"""),402.0)</f>
        <v>402</v>
      </c>
      <c r="K3" s="1" t="str">
        <f>IFERROR(__xludf.DUMMYFUNCTION("""COMPUTED_VALUE"""),"Факториал")</f>
        <v>Факториал</v>
      </c>
      <c r="L3" s="1">
        <f>IFERROR(__xludf.DUMMYFUNCTION("""COMPUTED_VALUE"""),502.0)</f>
        <v>502</v>
      </c>
      <c r="M3" s="1" t="str">
        <f>IFERROR(__xludf.DUMMYFUNCTION("""COMPUTED_VALUE"""),"Операция НЕ")</f>
        <v>Операция НЕ</v>
      </c>
      <c r="N3" s="1">
        <f>IFERROR(__xludf.DUMMYFUNCTION("""COMPUTED_VALUE"""),602.0)</f>
        <v>602</v>
      </c>
      <c r="O3" s="1" t="str">
        <f>IFERROR(__xludf.DUMMYFUNCTION("""COMPUTED_VALUE"""),"Инверсия двоичной записи ")</f>
        <v>Инверсия двоичной записи </v>
      </c>
      <c r="P3" s="1">
        <f>IFERROR(__xludf.DUMMYFUNCTION("""COMPUTED_VALUE"""),702.0)</f>
        <v>702</v>
      </c>
      <c r="Q3" s="1" t="str">
        <f>IFERROR(__xludf.DUMMYFUNCTION("""COMPUTED_VALUE"""),"Двоичная сс")</f>
        <v>Двоичная сс</v>
      </c>
      <c r="R3" s="1">
        <f>IFERROR(__xludf.DUMMYFUNCTION("""COMPUTED_VALUE"""),802.0)</f>
        <v>802</v>
      </c>
      <c r="S3" s="1" t="str">
        <f>IFERROR(__xludf.DUMMYFUNCTION("""COMPUTED_VALUE"""),"Абсолютная адресация")</f>
        <v>Абсолютная адресация</v>
      </c>
      <c r="T3" s="1">
        <f>IFERROR(__xludf.DUMMYFUNCTION("""COMPUTED_VALUE"""),902.0)</f>
        <v>902</v>
      </c>
      <c r="U3" s="1"/>
      <c r="V3" s="1"/>
      <c r="W3" s="1"/>
      <c r="X3" s="1"/>
      <c r="Y3" s="1"/>
      <c r="Z3" s="1"/>
    </row>
    <row r="4">
      <c r="A4" s="1" t="str">
        <f>IFERROR(__xludf.DUMMYFUNCTION("""COMPUTED_VALUE"""),"Умение переводить из 10 в N cc")</f>
        <v>Умение переводить из 10 в N cc</v>
      </c>
      <c r="B4" s="1">
        <f>IFERROR(__xludf.DUMMYFUNCTION("""COMPUTED_VALUE"""),3.0)</f>
        <v>3</v>
      </c>
      <c r="C4" s="1" t="str">
        <f>IFERROR(__xludf.DUMMYFUNCTION("""COMPUTED_VALUE"""),"Дерево вариантов")</f>
        <v>Дерево вариантов</v>
      </c>
      <c r="D4" s="1">
        <f>IFERROR(__xludf.DUMMYFUNCTION("""COMPUTED_VALUE"""),103.0)</f>
        <v>103</v>
      </c>
      <c r="E4" s="1" t="str">
        <f>IFERROR(__xludf.DUMMYFUNCTION("""COMPUTED_VALUE"""),"Простые графы")</f>
        <v>Простые графы</v>
      </c>
      <c r="F4" s="1">
        <f>IFERROR(__xludf.DUMMYFUNCTION("""COMPUTED_VALUE"""),203.0)</f>
        <v>203</v>
      </c>
      <c r="G4" s="1" t="str">
        <f>IFERROR(__xludf.DUMMYFUNCTION("""COMPUTED_VALUE"""),"Генерация диапазона чисел")</f>
        <v>Генерация диапазона чисел</v>
      </c>
      <c r="H4" s="1">
        <f>IFERROR(__xludf.DUMMYFUNCTION("""COMPUTED_VALUE"""),303.0)</f>
        <v>303</v>
      </c>
      <c r="I4" s="1" t="str">
        <f>IFERROR(__xludf.DUMMYFUNCTION("""COMPUTED_VALUE"""),"Выигрышные ходы")</f>
        <v>Выигрышные ходы</v>
      </c>
      <c r="J4" s="1">
        <f>IFERROR(__xludf.DUMMYFUNCTION("""COMPUTED_VALUE"""),403.0)</f>
        <v>403</v>
      </c>
      <c r="K4" s="1" t="str">
        <f>IFERROR(__xludf.DUMMYFUNCTION("""COMPUTED_VALUE"""),"Основы комбинаторики")</f>
        <v>Основы комбинаторики</v>
      </c>
      <c r="L4" s="1">
        <f>IFERROR(__xludf.DUMMYFUNCTION("""COMPUTED_VALUE"""),503.0)</f>
        <v>503</v>
      </c>
      <c r="M4" s="1" t="str">
        <f>IFERROR(__xludf.DUMMYFUNCTION("""COMPUTED_VALUE"""),"Операция И")</f>
        <v>Операция И</v>
      </c>
      <c r="N4" s="1">
        <f>IFERROR(__xludf.DUMMYFUNCTION("""COMPUTED_VALUE"""),603.0)</f>
        <v>603</v>
      </c>
      <c r="O4" s="1" t="str">
        <f>IFERROR(__xludf.DUMMYFUNCTION("""COMPUTED_VALUE"""),"Четность двоичной записи числа ")</f>
        <v>Четность двоичной записи числа </v>
      </c>
      <c r="P4" s="1">
        <f>IFERROR(__xludf.DUMMYFUNCTION("""COMPUTED_VALUE"""),703.0)</f>
        <v>703</v>
      </c>
      <c r="Q4" s="1" t="str">
        <f>IFERROR(__xludf.DUMMYFUNCTION("""COMPUTED_VALUE"""),"Перевод из 2 сс в 10 сс")</f>
        <v>Перевод из 2 сс в 10 сс</v>
      </c>
      <c r="R4" s="1">
        <f>IFERROR(__xludf.DUMMYFUNCTION("""COMPUTED_VALUE"""),803.0)</f>
        <v>803</v>
      </c>
      <c r="S4" s="1" t="str">
        <f>IFERROR(__xludf.DUMMYFUNCTION("""COMPUTED_VALUE"""),"Функция МАКС")</f>
        <v>Функция МАКС</v>
      </c>
      <c r="T4" s="1">
        <f>IFERROR(__xludf.DUMMYFUNCTION("""COMPUTED_VALUE"""),903.0)</f>
        <v>903</v>
      </c>
      <c r="U4" s="1"/>
      <c r="V4" s="1"/>
      <c r="W4" s="1"/>
      <c r="X4" s="1"/>
      <c r="Y4" s="1"/>
      <c r="Z4" s="1"/>
    </row>
    <row r="5">
      <c r="A5" s="1" t="str">
        <f>IFERROR(__xludf.DUMMYFUNCTION("""COMPUTED_VALUE"""),"Умение переводить из N в 10 сс")</f>
        <v>Умение переводить из N в 10 сс</v>
      </c>
      <c r="B5" s="1">
        <f>IFERROR(__xludf.DUMMYFUNCTION("""COMPUTED_VALUE"""),4.0)</f>
        <v>4</v>
      </c>
      <c r="C5" s="1" t="str">
        <f>IFERROR(__xludf.DUMMYFUNCTION("""COMPUTED_VALUE"""),"Пиксели, объем пикселя")</f>
        <v>Пиксели, объем пикселя</v>
      </c>
      <c r="D5" s="1">
        <f>IFERROR(__xludf.DUMMYFUNCTION("""COMPUTED_VALUE"""),104.0)</f>
        <v>104</v>
      </c>
      <c r="E5" s="1" t="str">
        <f>IFERROR(__xludf.DUMMYFUNCTION("""COMPUTED_VALUE"""),"Проходящие графы")</f>
        <v>Проходящие графы</v>
      </c>
      <c r="F5" s="1">
        <f>IFERROR(__xludf.DUMMYFUNCTION("""COMPUTED_VALUE"""),204.0)</f>
        <v>204</v>
      </c>
      <c r="G5" s="1" t="str">
        <f>IFERROR(__xludf.DUMMYFUNCTION("""COMPUTED_VALUE"""),"Цикл while ")</f>
        <v>Цикл while </v>
      </c>
      <c r="H5" s="1">
        <f>IFERROR(__xludf.DUMMYFUNCTION("""COMPUTED_VALUE"""),304.0)</f>
        <v>304</v>
      </c>
      <c r="I5" s="1" t="str">
        <f>IFERROR(__xludf.DUMMYFUNCTION("""COMPUTED_VALUE"""),"Проигрышные ходы")</f>
        <v>Проигрышные ходы</v>
      </c>
      <c r="J5" s="1">
        <f>IFERROR(__xludf.DUMMYFUNCTION("""COMPUTED_VALUE"""),404.0)</f>
        <v>404</v>
      </c>
      <c r="K5" s="1" t="str">
        <f>IFERROR(__xludf.DUMMYFUNCTION("""COMPUTED_VALUE"""),"Количество всех вариантов")</f>
        <v>Количество всех вариантов</v>
      </c>
      <c r="L5" s="1">
        <f>IFERROR(__xludf.DUMMYFUNCTION("""COMPUTED_VALUE"""),504.0)</f>
        <v>504</v>
      </c>
      <c r="M5" s="1" t="str">
        <f>IFERROR(__xludf.DUMMYFUNCTION("""COMPUTED_VALUE"""),"Операция ИЛИ")</f>
        <v>Операция ИЛИ</v>
      </c>
      <c r="N5" s="1">
        <f>IFERROR(__xludf.DUMMYFUNCTION("""COMPUTED_VALUE"""),604.0)</f>
        <v>604</v>
      </c>
      <c r="O5" s="1" t="str">
        <f>IFERROR(__xludf.DUMMYFUNCTION("""COMPUTED_VALUE"""),"Перевод из 2сс в 10сс")</f>
        <v>Перевод из 2сс в 10сс</v>
      </c>
      <c r="P5" s="1">
        <f>IFERROR(__xludf.DUMMYFUNCTION("""COMPUTED_VALUE"""),704.0)</f>
        <v>704</v>
      </c>
      <c r="Q5" s="1" t="str">
        <f>IFERROR(__xludf.DUMMYFUNCTION("""COMPUTED_VALUE"""),"Перевод из 10сс в 2сс")</f>
        <v>Перевод из 10сс в 2сс</v>
      </c>
      <c r="R5" s="1">
        <f>IFERROR(__xludf.DUMMYFUNCTION("""COMPUTED_VALUE"""),804.0)</f>
        <v>804</v>
      </c>
      <c r="S5" s="1" t="str">
        <f>IFERROR(__xludf.DUMMYFUNCTION("""COMPUTED_VALUE"""),"Функция МИН")</f>
        <v>Функция МИН</v>
      </c>
      <c r="T5" s="1">
        <f>IFERROR(__xludf.DUMMYFUNCTION("""COMPUTED_VALUE"""),904.0)</f>
        <v>904</v>
      </c>
      <c r="U5" s="1"/>
      <c r="V5" s="1"/>
      <c r="W5" s="1"/>
      <c r="X5" s="1"/>
      <c r="Y5" s="1"/>
      <c r="Z5" s="1"/>
    </row>
    <row r="6">
      <c r="A6" s="1" t="str">
        <f>IFERROR(__xludf.DUMMYFUNCTION("""COMPUTED_VALUE"""),"Умение решать задачу динамически ")</f>
        <v>Умение решать задачу динамически </v>
      </c>
      <c r="B6" s="1">
        <f>IFERROR(__xludf.DUMMYFUNCTION("""COMPUTED_VALUE"""),5.0)</f>
        <v>5</v>
      </c>
      <c r="C6" s="1" t="str">
        <f>IFERROR(__xludf.DUMMYFUNCTION("""COMPUTED_VALUE"""),"Количество цветов изображения ")</f>
        <v>Количество цветов изображения </v>
      </c>
      <c r="D6" s="1">
        <f>IFERROR(__xludf.DUMMYFUNCTION("""COMPUTED_VALUE"""),105.0)</f>
        <v>105</v>
      </c>
      <c r="E6" s="1" t="str">
        <f>IFERROR(__xludf.DUMMYFUNCTION("""COMPUTED_VALUE"""),"Непроходящие графы")</f>
        <v>Непроходящие графы</v>
      </c>
      <c r="F6" s="1">
        <f>IFERROR(__xludf.DUMMYFUNCTION("""COMPUTED_VALUE"""),205.0)</f>
        <v>205</v>
      </c>
      <c r="G6" s="1" t="str">
        <f>IFERROR(__xludf.DUMMYFUNCTION("""COMPUTED_VALUE"""),"Операторы ветвления if-elif-else")</f>
        <v>Операторы ветвления if-elif-else</v>
      </c>
      <c r="H6" s="1">
        <f>IFERROR(__xludf.DUMMYFUNCTION("""COMPUTED_VALUE"""),305.0)</f>
        <v>305</v>
      </c>
      <c r="I6" s="1" t="str">
        <f>IFERROR(__xludf.DUMMYFUNCTION("""COMPUTED_VALUE"""),"Стратегия игры ")</f>
        <v>Стратегия игры </v>
      </c>
      <c r="J6" s="1">
        <f>IFERROR(__xludf.DUMMYFUNCTION("""COMPUTED_VALUE"""),405.0)</f>
        <v>405</v>
      </c>
      <c r="K6" s="1" t="str">
        <f>IFERROR(__xludf.DUMMYFUNCTION("""COMPUTED_VALUE"""),"Метод исключения неподходящих вариантов")</f>
        <v>Метод исключения неподходящих вариантов</v>
      </c>
      <c r="L6" s="1">
        <f>IFERROR(__xludf.DUMMYFUNCTION("""COMPUTED_VALUE"""),505.0)</f>
        <v>505</v>
      </c>
      <c r="M6" s="1" t="str">
        <f>IFERROR(__xludf.DUMMYFUNCTION("""COMPUTED_VALUE"""),"Импликация")</f>
        <v>Импликация</v>
      </c>
      <c r="N6" s="1">
        <f>IFERROR(__xludf.DUMMYFUNCTION("""COMPUTED_VALUE"""),605.0)</f>
        <v>605</v>
      </c>
      <c r="O6" s="1" t="str">
        <f>IFERROR(__xludf.DUMMYFUNCTION("""COMPUTED_VALUE"""),"Перевод из 10сс в 2сс")</f>
        <v>Перевод из 10сс в 2сс</v>
      </c>
      <c r="P6" s="1">
        <f>IFERROR(__xludf.DUMMYFUNCTION("""COMPUTED_VALUE"""),705.0)</f>
        <v>705</v>
      </c>
      <c r="Q6" s="1" t="str">
        <f>IFERROR(__xludf.DUMMYFUNCTION("""COMPUTED_VALUE"""),"8-ричная сс")</f>
        <v>8-ричная сс</v>
      </c>
      <c r="R6" s="1">
        <f>IFERROR(__xludf.DUMMYFUNCTION("""COMPUTED_VALUE"""),805.0)</f>
        <v>805</v>
      </c>
      <c r="S6" s="1" t="str">
        <f>IFERROR(__xludf.DUMMYFUNCTION("""COMPUTED_VALUE"""),"Функция СРЗНАЧ")</f>
        <v>Функция СРЗНАЧ</v>
      </c>
      <c r="T6" s="1">
        <f>IFERROR(__xludf.DUMMYFUNCTION("""COMPUTED_VALUE"""),905.0)</f>
        <v>905</v>
      </c>
      <c r="U6" s="1"/>
      <c r="V6" s="1"/>
      <c r="W6" s="1"/>
      <c r="X6" s="1"/>
      <c r="Y6" s="1"/>
      <c r="Z6" s="1"/>
    </row>
    <row r="7">
      <c r="A7" s="1" t="str">
        <f>IFERROR(__xludf.DUMMYFUNCTION("""COMPUTED_VALUE"""),"Умение верно составлять условия для решения по формулировке задачи")</f>
        <v>Умение верно составлять условия для решения по формулировке задачи</v>
      </c>
      <c r="B7" s="1">
        <f>IFERROR(__xludf.DUMMYFUNCTION("""COMPUTED_VALUE"""),6.0)</f>
        <v>6</v>
      </c>
      <c r="C7" s="1" t="str">
        <f>IFERROR(__xludf.DUMMYFUNCTION("""COMPUTED_VALUE"""),"Объем изображения ")</f>
        <v>Объем изображения </v>
      </c>
      <c r="D7" s="1">
        <f>IFERROR(__xludf.DUMMYFUNCTION("""COMPUTED_VALUE"""),106.0)</f>
        <v>106</v>
      </c>
      <c r="E7" s="1" t="str">
        <f>IFERROR(__xludf.DUMMYFUNCTION("""COMPUTED_VALUE"""),"Ориентированные графы")</f>
        <v>Ориентированные графы</v>
      </c>
      <c r="F7" s="1">
        <f>IFERROR(__xludf.DUMMYFUNCTION("""COMPUTED_VALUE"""),206.0)</f>
        <v>206</v>
      </c>
      <c r="G7" s="1" t="str">
        <f>IFERROR(__xludf.DUMMYFUNCTION("""COMPUTED_VALUE"""),"Арифметические операторы")</f>
        <v>Арифметические операторы</v>
      </c>
      <c r="H7" s="1">
        <f>IFERROR(__xludf.DUMMYFUNCTION("""COMPUTED_VALUE"""),306.0)</f>
        <v>306</v>
      </c>
      <c r="I7" s="1" t="str">
        <f>IFERROR(__xludf.DUMMYFUNCTION("""COMPUTED_VALUE"""),"Неудачный ход соперника")</f>
        <v>Неудачный ход соперника</v>
      </c>
      <c r="J7" s="1">
        <f>IFERROR(__xludf.DUMMYFUNCTION("""COMPUTED_VALUE"""),406.0)</f>
        <v>406</v>
      </c>
      <c r="K7" s="1" t="str">
        <f>IFERROR(__xludf.DUMMYFUNCTION("""COMPUTED_VALUE"""),"Слова с повторяющимися буквами")</f>
        <v>Слова с повторяющимися буквами</v>
      </c>
      <c r="L7" s="1">
        <f>IFERROR(__xludf.DUMMYFUNCTION("""COMPUTED_VALUE"""),506.0)</f>
        <v>506</v>
      </c>
      <c r="M7" s="1" t="str">
        <f>IFERROR(__xludf.DUMMYFUNCTION("""COMPUTED_VALUE"""),"Эквивалентность")</f>
        <v>Эквивалентность</v>
      </c>
      <c r="N7" s="1">
        <f>IFERROR(__xludf.DUMMYFUNCTION("""COMPUTED_VALUE"""),606.0)</f>
        <v>606</v>
      </c>
      <c r="O7" s="1" t="str">
        <f>IFERROR(__xludf.DUMMYFUNCTION("""COMPUTED_VALUE"""),"Разряды двоичного числа")</f>
        <v>Разряды двоичного числа</v>
      </c>
      <c r="P7" s="1">
        <f>IFERROR(__xludf.DUMMYFUNCTION("""COMPUTED_VALUE"""),706.0)</f>
        <v>706</v>
      </c>
      <c r="Q7" s="1" t="str">
        <f>IFERROR(__xludf.DUMMYFUNCTION("""COMPUTED_VALUE"""),"16-ричная сс")</f>
        <v>16-ричная сс</v>
      </c>
      <c r="R7" s="1">
        <f>IFERROR(__xludf.DUMMYFUNCTION("""COMPUTED_VALUE"""),806.0)</f>
        <v>806</v>
      </c>
      <c r="S7" s="1" t="str">
        <f>IFERROR(__xludf.DUMMYFUNCTION("""COMPUTED_VALUE"""),"Функция ЕСЛИ")</f>
        <v>Функция ЕСЛИ</v>
      </c>
      <c r="T7" s="1">
        <f>IFERROR(__xludf.DUMMYFUNCTION("""COMPUTED_VALUE"""),906.0)</f>
        <v>906</v>
      </c>
      <c r="U7" s="1"/>
      <c r="V7" s="1"/>
      <c r="W7" s="1"/>
      <c r="X7" s="1"/>
      <c r="Y7" s="1"/>
      <c r="Z7" s="1"/>
    </row>
    <row r="8">
      <c r="A8" s="1" t="str">
        <f>IFERROR(__xludf.DUMMYFUNCTION("""COMPUTED_VALUE"""),"Умение переводить текст на математический язык")</f>
        <v>Умение переводить текст на математический язык</v>
      </c>
      <c r="B8" s="1">
        <f>IFERROR(__xludf.DUMMYFUNCTION("""COMPUTED_VALUE"""),7.0)</f>
        <v>7</v>
      </c>
      <c r="C8" s="1" t="str">
        <f>IFERROR(__xludf.DUMMYFUNCTION("""COMPUTED_VALUE"""),"Перевод от ppi, dpi к количеству пикселей")</f>
        <v>Перевод от ppi, dpi к количеству пикселей</v>
      </c>
      <c r="D8" s="1">
        <f>IFERROR(__xludf.DUMMYFUNCTION("""COMPUTED_VALUE"""),107.0)</f>
        <v>107</v>
      </c>
      <c r="E8" s="1" t="str">
        <f>IFERROR(__xludf.DUMMYFUNCTION("""COMPUTED_VALUE"""),"Сопоставление графа и таблицы")</f>
        <v>Сопоставление графа и таблицы</v>
      </c>
      <c r="F8" s="1">
        <f>IFERROR(__xludf.DUMMYFUNCTION("""COMPUTED_VALUE"""),207.0)</f>
        <v>207</v>
      </c>
      <c r="G8" s="1" t="str">
        <f>IFERROR(__xludf.DUMMYFUNCTION("""COMPUTED_VALUE"""),"Операторы присваивания, сравнения")</f>
        <v>Операторы присваивания, сравнения</v>
      </c>
      <c r="H8" s="1">
        <f>IFERROR(__xludf.DUMMYFUNCTION("""COMPUTED_VALUE"""),307.0)</f>
        <v>307</v>
      </c>
      <c r="I8" s="1" t="str">
        <f>IFERROR(__xludf.DUMMYFUNCTION("""COMPUTED_VALUE"""),"Выигрышная стратегия")</f>
        <v>Выигрышная стратегия</v>
      </c>
      <c r="J8" s="1">
        <f>IFERROR(__xludf.DUMMYFUNCTION("""COMPUTED_VALUE"""),407.0)</f>
        <v>407</v>
      </c>
      <c r="K8" s="1" t="str">
        <f>IFERROR(__xludf.DUMMYFUNCTION("""COMPUTED_VALUE"""),"Слова с неповторяющимися буквами")</f>
        <v>Слова с неповторяющимися буквами</v>
      </c>
      <c r="L8" s="1">
        <f>IFERROR(__xludf.DUMMYFUNCTION("""COMPUTED_VALUE"""),507.0)</f>
        <v>507</v>
      </c>
      <c r="M8" s="1" t="str">
        <f>IFERROR(__xludf.DUMMYFUNCTION("""COMPUTED_VALUE"""),"Приоритет логических операций ")</f>
        <v>Приоритет логических операций </v>
      </c>
      <c r="N8" s="1">
        <f>IFERROR(__xludf.DUMMYFUNCTION("""COMPUTED_VALUE"""),607.0)</f>
        <v>607</v>
      </c>
      <c r="O8" s="1" t="str">
        <f>IFERROR(__xludf.DUMMYFUNCTION("""COMPUTED_VALUE"""),"ПОКА")</f>
        <v>ПОКА</v>
      </c>
      <c r="P8" s="1">
        <f>IFERROR(__xludf.DUMMYFUNCTION("""COMPUTED_VALUE"""),707.0)</f>
        <v>707</v>
      </c>
      <c r="Q8" s="1" t="str">
        <f>IFERROR(__xludf.DUMMYFUNCTION("""COMPUTED_VALUE"""),"Таблица триад")</f>
        <v>Таблица триад</v>
      </c>
      <c r="R8" s="1">
        <f>IFERROR(__xludf.DUMMYFUNCTION("""COMPUTED_VALUE"""),807.0)</f>
        <v>807</v>
      </c>
      <c r="S8" s="1" t="str">
        <f>IFERROR(__xludf.DUMMYFUNCTION("""COMPUTED_VALUE"""),"Функция ЕСЛИМН")</f>
        <v>Функция ЕСЛИМН</v>
      </c>
      <c r="T8" s="1">
        <f>IFERROR(__xludf.DUMMYFUNCTION("""COMPUTED_VALUE"""),907.0)</f>
        <v>907</v>
      </c>
      <c r="U8" s="1"/>
      <c r="V8" s="1"/>
      <c r="W8" s="1"/>
      <c r="X8" s="1"/>
      <c r="Y8" s="1"/>
      <c r="Z8" s="1"/>
    </row>
    <row r="9">
      <c r="A9" s="1" t="str">
        <f>IFERROR(__xludf.DUMMYFUNCTION("""COMPUTED_VALUE"""),"Знание основных математических теорем")</f>
        <v>Знание основных математических теорем</v>
      </c>
      <c r="B9" s="1">
        <f>IFERROR(__xludf.DUMMYFUNCTION("""COMPUTED_VALUE"""),8.0)</f>
        <v>8</v>
      </c>
      <c r="C9" s="1" t="str">
        <f>IFERROR(__xludf.DUMMYFUNCTION("""COMPUTED_VALUE"""),"Единицы измерения информации")</f>
        <v>Единицы измерения информации</v>
      </c>
      <c r="D9" s="1">
        <f>IFERROR(__xludf.DUMMYFUNCTION("""COMPUTED_VALUE"""),108.0)</f>
        <v>108</v>
      </c>
      <c r="E9" s="1" t="str">
        <f>IFERROR(__xludf.DUMMYFUNCTION("""COMPUTED_VALUE"""),"Вершины и ребра графа")</f>
        <v>Вершины и ребра графа</v>
      </c>
      <c r="F9" s="1">
        <f>IFERROR(__xludf.DUMMYFUNCTION("""COMPUTED_VALUE"""),208.0)</f>
        <v>208</v>
      </c>
      <c r="G9" s="1" t="str">
        <f>IFERROR(__xludf.DUMMYFUNCTION("""COMPUTED_VALUE"""),"Логические операторы")</f>
        <v>Логические операторы</v>
      </c>
      <c r="H9" s="1">
        <f>IFERROR(__xludf.DUMMYFUNCTION("""COMPUTED_VALUE"""),308.0)</f>
        <v>308</v>
      </c>
      <c r="I9" s="1" t="str">
        <f>IFERROR(__xludf.DUMMYFUNCTION("""COMPUTED_VALUE"""),"Выигрыш за 1 ход")</f>
        <v>Выигрыш за 1 ход</v>
      </c>
      <c r="J9" s="1">
        <f>IFERROR(__xludf.DUMMYFUNCTION("""COMPUTED_VALUE"""),408.0)</f>
        <v>408</v>
      </c>
      <c r="K9" s="1" t="str">
        <f>IFERROR(__xludf.DUMMYFUNCTION("""COMPUTED_VALUE"""),"Перестановка букв в слове")</f>
        <v>Перестановка букв в слове</v>
      </c>
      <c r="L9" s="1">
        <f>IFERROR(__xludf.DUMMYFUNCTION("""COMPUTED_VALUE"""),508.0)</f>
        <v>508</v>
      </c>
      <c r="M9" s="1" t="str">
        <f>IFERROR(__xludf.DUMMYFUNCTION("""COMPUTED_VALUE"""),"Логическое выражение")</f>
        <v>Логическое выражение</v>
      </c>
      <c r="N9" s="1">
        <f>IFERROR(__xludf.DUMMYFUNCTION("""COMPUTED_VALUE"""),608.0)</f>
        <v>608</v>
      </c>
      <c r="O9" s="1" t="str">
        <f>IFERROR(__xludf.DUMMYFUNCTION("""COMPUTED_VALUE"""),"ЕСЛИ")</f>
        <v>ЕСЛИ</v>
      </c>
      <c r="P9" s="1">
        <f>IFERROR(__xludf.DUMMYFUNCTION("""COMPUTED_VALUE"""),708.0)</f>
        <v>708</v>
      </c>
      <c r="Q9" s="1" t="str">
        <f>IFERROR(__xludf.DUMMYFUNCTION("""COMPUTED_VALUE"""),"Таблица тетрад")</f>
        <v>Таблица тетрад</v>
      </c>
      <c r="R9" s="1">
        <f>IFERROR(__xludf.DUMMYFUNCTION("""COMPUTED_VALUE"""),808.0)</f>
        <v>808</v>
      </c>
      <c r="S9" s="1" t="str">
        <f>IFERROR(__xludf.DUMMYFUNCTION("""COMPUTED_VALUE"""),"Функция СУММ")</f>
        <v>Функция СУММ</v>
      </c>
      <c r="T9" s="1">
        <f>IFERROR(__xludf.DUMMYFUNCTION("""COMPUTED_VALUE"""),908.0)</f>
        <v>908</v>
      </c>
      <c r="U9" s="1"/>
      <c r="V9" s="1"/>
      <c r="W9" s="1"/>
      <c r="X9" s="1"/>
      <c r="Y9" s="1"/>
      <c r="Z9" s="1"/>
    </row>
    <row r="10">
      <c r="A10" s="1" t="str">
        <f>IFERROR(__xludf.DUMMYFUNCTION("""COMPUTED_VALUE"""),"Умение находить нестандартные способы решения ")</f>
        <v>Умение находить нестандартные способы решения </v>
      </c>
      <c r="B10" s="1">
        <f>IFERROR(__xludf.DUMMYFUNCTION("""COMPUTED_VALUE"""),9.0)</f>
        <v>9</v>
      </c>
      <c r="C10" s="1" t="str">
        <f>IFERROR(__xludf.DUMMYFUNCTION("""COMPUTED_VALUE"""),"Кодирование звука")</f>
        <v>Кодирование звука</v>
      </c>
      <c r="D10" s="1">
        <f>IFERROR(__xludf.DUMMYFUNCTION("""COMPUTED_VALUE"""),109.0)</f>
        <v>109</v>
      </c>
      <c r="E10" s="1" t="str">
        <f>IFERROR(__xludf.DUMMYFUNCTION("""COMPUTED_VALUE"""),"Неориентированные графы ")</f>
        <v>Неориентированные графы </v>
      </c>
      <c r="F10" s="1">
        <f>IFERROR(__xludf.DUMMYFUNCTION("""COMPUTED_VALUE"""),209.0)</f>
        <v>209</v>
      </c>
      <c r="G10" s="1" t="str">
        <f>IFERROR(__xludf.DUMMYFUNCTION("""COMPUTED_VALUE"""),"Битовые операторы ")</f>
        <v>Битовые операторы </v>
      </c>
      <c r="H10" s="1">
        <f>IFERROR(__xludf.DUMMYFUNCTION("""COMPUTED_VALUE"""),309.0)</f>
        <v>309</v>
      </c>
      <c r="I10" s="1" t="str">
        <f>IFERROR(__xludf.DUMMYFUNCTION("""COMPUTED_VALUE"""),"Выигрыш за 2 хода")</f>
        <v>Выигрыш за 2 хода</v>
      </c>
      <c r="J10" s="1">
        <f>IFERROR(__xludf.DUMMYFUNCTION("""COMPUTED_VALUE"""),409.0)</f>
        <v>409</v>
      </c>
      <c r="K10" s="1" t="str">
        <f>IFERROR(__xludf.DUMMYFUNCTION("""COMPUTED_VALUE"""),"Перестановка с повторением")</f>
        <v>Перестановка с повторением</v>
      </c>
      <c r="L10" s="1">
        <f>IFERROR(__xludf.DUMMYFUNCTION("""COMPUTED_VALUE"""),509.0)</f>
        <v>509</v>
      </c>
      <c r="M10" s="1" t="str">
        <f>IFERROR(__xludf.DUMMYFUNCTION("""COMPUTED_VALUE"""),"Истинность логического выражения")</f>
        <v>Истинность логического выражения</v>
      </c>
      <c r="N10" s="1">
        <f>IFERROR(__xludf.DUMMYFUNCTION("""COMPUTED_VALUE"""),609.0)</f>
        <v>609</v>
      </c>
      <c r="O10" s="1" t="str">
        <f>IFERROR(__xludf.DUMMYFUNCTION("""COMPUTED_VALUE"""),"ЗАМЕНИТЬ")</f>
        <v>ЗАМЕНИТЬ</v>
      </c>
      <c r="P10" s="1">
        <f>IFERROR(__xludf.DUMMYFUNCTION("""COMPUTED_VALUE"""),709.0)</f>
        <v>709</v>
      </c>
      <c r="Q10" s="1" t="str">
        <f>IFERROR(__xludf.DUMMYFUNCTION("""COMPUTED_VALUE"""),"Позиционные системы счисления ")</f>
        <v>Позиционные системы счисления </v>
      </c>
      <c r="R10" s="1">
        <f>IFERROR(__xludf.DUMMYFUNCTION("""COMPUTED_VALUE"""),809.0)</f>
        <v>809</v>
      </c>
      <c r="S10" s="1" t="str">
        <f>IFERROR(__xludf.DUMMYFUNCTION("""COMPUTED_VALUE"""),"Функция И")</f>
        <v>Функция И</v>
      </c>
      <c r="T10" s="1">
        <f>IFERROR(__xludf.DUMMYFUNCTION("""COMPUTED_VALUE"""),909.0)</f>
        <v>909</v>
      </c>
      <c r="U10" s="1"/>
      <c r="V10" s="1"/>
      <c r="W10" s="1"/>
      <c r="X10" s="1"/>
      <c r="Y10" s="1"/>
      <c r="Z10" s="1"/>
    </row>
    <row r="11">
      <c r="A11" s="1" t="str">
        <f>IFERROR(__xludf.DUMMYFUNCTION("""COMPUTED_VALUE"""),"Знание условий делимости чисел")</f>
        <v>Знание условий делимости чисел</v>
      </c>
      <c r="B11" s="1">
        <f>IFERROR(__xludf.DUMMYFUNCTION("""COMPUTED_VALUE"""),10.0)</f>
        <v>10</v>
      </c>
      <c r="C11" s="1" t="str">
        <f>IFERROR(__xludf.DUMMYFUNCTION("""COMPUTED_VALUE"""),"Объем звукового файла")</f>
        <v>Объем звукового файла</v>
      </c>
      <c r="D11" s="1">
        <f>IFERROR(__xludf.DUMMYFUNCTION("""COMPUTED_VALUE"""),110.0)</f>
        <v>110</v>
      </c>
      <c r="E11" s="1" t="str">
        <f>IFERROR(__xludf.DUMMYFUNCTION("""COMPUTED_VALUE"""),"Степень вершины графа")</f>
        <v>Степень вершины графа</v>
      </c>
      <c r="F11" s="1">
        <f>IFERROR(__xludf.DUMMYFUNCTION("""COMPUTED_VALUE"""),210.0)</f>
        <v>210</v>
      </c>
      <c r="G11" s="1" t="str">
        <f>IFERROR(__xludf.DUMMYFUNCTION("""COMPUTED_VALUE"""),"Строки ")</f>
        <v>Строки </v>
      </c>
      <c r="H11" s="1">
        <f>IFERROR(__xludf.DUMMYFUNCTION("""COMPUTED_VALUE"""),310.0)</f>
        <v>310</v>
      </c>
      <c r="I11" s="1" t="str">
        <f>IFERROR(__xludf.DUMMYFUNCTION("""COMPUTED_VALUE"""),"Дерево вариантов")</f>
        <v>Дерево вариантов</v>
      </c>
      <c r="J11" s="1">
        <f>IFERROR(__xludf.DUMMYFUNCTION("""COMPUTED_VALUE"""),410.0)</f>
        <v>410</v>
      </c>
      <c r="K11" s="1" t="str">
        <f>IFERROR(__xludf.DUMMYFUNCTION("""COMPUTED_VALUE"""),"Перебор вариантов")</f>
        <v>Перебор вариантов</v>
      </c>
      <c r="L11" s="1">
        <f>IFERROR(__xludf.DUMMYFUNCTION("""COMPUTED_VALUE"""),510.0)</f>
        <v>510</v>
      </c>
      <c r="M11" s="1" t="str">
        <f>IFERROR(__xludf.DUMMYFUNCTION("""COMPUTED_VALUE"""),"Ложность логического выражения ")</f>
        <v>Ложность логического выражения </v>
      </c>
      <c r="N11" s="1">
        <f>IFERROR(__xludf.DUMMYFUNCTION("""COMPUTED_VALUE"""),610.0)</f>
        <v>610</v>
      </c>
      <c r="O11" s="1" t="str">
        <f>IFERROR(__xludf.DUMMYFUNCTION("""COMPUTED_VALUE"""),"Обработка строки ")</f>
        <v>Обработка строки </v>
      </c>
      <c r="P11" s="1">
        <f>IFERROR(__xludf.DUMMYFUNCTION("""COMPUTED_VALUE"""),710.0)</f>
        <v>710</v>
      </c>
      <c r="Q11" s="1" t="str">
        <f>IFERROR(__xludf.DUMMYFUNCTION("""COMPUTED_VALUE"""),"Перевод из 10сс в Ncc")</f>
        <v>Перевод из 10сс в Ncc</v>
      </c>
      <c r="R11" s="1">
        <f>IFERROR(__xludf.DUMMYFUNCTION("""COMPUTED_VALUE"""),810.0)</f>
        <v>810</v>
      </c>
      <c r="S11" s="1" t="str">
        <f>IFERROR(__xludf.DUMMYFUNCTION("""COMPUTED_VALUE"""),"Функция ИЛИ")</f>
        <v>Функция ИЛИ</v>
      </c>
      <c r="T11" s="1">
        <f>IFERROR(__xludf.DUMMYFUNCTION("""COMPUTED_VALUE"""),910.0)</f>
        <v>910</v>
      </c>
      <c r="U11" s="1"/>
      <c r="V11" s="1"/>
      <c r="W11" s="1"/>
      <c r="X11" s="1"/>
      <c r="Y11" s="1"/>
      <c r="Z11" s="1"/>
    </row>
    <row r="12">
      <c r="A12" s="1" t="str">
        <f>IFERROR(__xludf.DUMMYFUNCTION("""COMPUTED_VALUE"""),"Умение составления алгоритмов ")</f>
        <v>Умение составления алгоритмов </v>
      </c>
      <c r="B12" s="1">
        <f>IFERROR(__xludf.DUMMYFUNCTION("""COMPUTED_VALUE"""),11.0)</f>
        <v>11</v>
      </c>
      <c r="C12" s="1" t="str">
        <f>IFERROR(__xludf.DUMMYFUNCTION("""COMPUTED_VALUE"""),"Моно, стерео, квадро записи")</f>
        <v>Моно, стерео, квадро записи</v>
      </c>
      <c r="D12" s="1">
        <f>IFERROR(__xludf.DUMMYFUNCTION("""COMPUTED_VALUE"""),111.0)</f>
        <v>111</v>
      </c>
      <c r="E12" s="1" t="str">
        <f>IFERROR(__xludf.DUMMYFUNCTION("""COMPUTED_VALUE"""),"Дерево ")</f>
        <v>Дерево </v>
      </c>
      <c r="F12" s="1">
        <f>IFERROR(__xludf.DUMMYFUNCTION("""COMPUTED_VALUE"""),211.0)</f>
        <v>211</v>
      </c>
      <c r="G12" s="1" t="str">
        <f>IFERROR(__xludf.DUMMYFUNCTION("""COMPUTED_VALUE"""),"Основные строковые функции и методы")</f>
        <v>Основные строковые функции и методы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IFERROR(__xludf.DUMMYFUNCTION("""COMPUTED_VALUE"""),"Логическое выражение с параметром")</f>
        <v>Логическое выражение с параметром</v>
      </c>
      <c r="N12" s="1">
        <f>IFERROR(__xludf.DUMMYFUNCTION("""COMPUTED_VALUE"""),611.0)</f>
        <v>611</v>
      </c>
      <c r="O12" s="1" t="str">
        <f>IFERROR(__xludf.DUMMYFUNCTION("""COMPUTED_VALUE"""),"Координатная плоскость")</f>
        <v>Координатная плоскость</v>
      </c>
      <c r="P12" s="1">
        <f>IFERROR(__xludf.DUMMYFUNCTION("""COMPUTED_VALUE"""),711.0)</f>
        <v>711</v>
      </c>
      <c r="Q12" s="1" t="str">
        <f>IFERROR(__xludf.DUMMYFUNCTION("""COMPUTED_VALUE"""),"Перевод из Ncc в 10сс")</f>
        <v>Перевод из Ncc в 10сс</v>
      </c>
      <c r="R12" s="1">
        <f>IFERROR(__xludf.DUMMYFUNCTION("""COMPUTED_VALUE"""),811.0)</f>
        <v>811</v>
      </c>
      <c r="S12" s="1" t="str">
        <f>IFERROR(__xludf.DUMMYFUNCTION("""COMPUTED_VALUE"""),"Функция СЧЕТ")</f>
        <v>Функция СЧЕТ</v>
      </c>
      <c r="T12" s="1">
        <f>IFERROR(__xludf.DUMMYFUNCTION("""COMPUTED_VALUE"""),911.0)</f>
        <v>911</v>
      </c>
      <c r="U12" s="1"/>
      <c r="V12" s="1"/>
      <c r="W12" s="1"/>
      <c r="X12" s="1"/>
      <c r="Y12" s="1"/>
      <c r="Z12" s="1"/>
    </row>
    <row r="13">
      <c r="A13" s="1" t="str">
        <f>IFERROR(__xludf.DUMMYFUNCTION("""COMPUTED_VALUE"""),"Умение решать уравнения/неравенства ")</f>
        <v>Умение решать уравнения/неравенства </v>
      </c>
      <c r="B13" s="1">
        <f>IFERROR(__xludf.DUMMYFUNCTION("""COMPUTED_VALUE"""),12.0)</f>
        <v>12</v>
      </c>
      <c r="C13" s="1" t="str">
        <f>IFERROR(__xludf.DUMMYFUNCTION("""COMPUTED_VALUE"""),"Глубина звука")</f>
        <v>Глубина звука</v>
      </c>
      <c r="D13" s="1">
        <f>IFERROR(__xludf.DUMMYFUNCTION("""COMPUTED_VALUE"""),112.0)</f>
        <v>112</v>
      </c>
      <c r="E13" s="1" t="str">
        <f>IFERROR(__xludf.DUMMYFUNCTION("""COMPUTED_VALUE"""),"Истоки и стоки дерева")</f>
        <v>Истоки и стоки дерева</v>
      </c>
      <c r="F13" s="1">
        <f>IFERROR(__xludf.DUMMYFUNCTION("""COMPUTED_VALUE"""),212.0)</f>
        <v>212</v>
      </c>
      <c r="G13" s="1" t="str">
        <f>IFERROR(__xludf.DUMMYFUNCTION("""COMPUTED_VALUE"""),"Массивы/списки")</f>
        <v>Массивы/списки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IFERROR(__xludf.DUMMYFUNCTION("""COMPUTED_VALUE"""),"Поразрядная конъюнкция ")</f>
        <v>Поразрядная конъюнкция </v>
      </c>
      <c r="N13" s="1">
        <f>IFERROR(__xludf.DUMMYFUNCTION("""COMPUTED_VALUE"""),612.0)</f>
        <v>612</v>
      </c>
      <c r="O13" s="1" t="str">
        <f>IFERROR(__xludf.DUMMYFUNCTION("""COMPUTED_VALUE"""),"Координаты точки на плоскости")</f>
        <v>Координаты точки на плоскости</v>
      </c>
      <c r="P13" s="1">
        <f>IFERROR(__xludf.DUMMYFUNCTION("""COMPUTED_VALUE"""),712.0)</f>
        <v>712</v>
      </c>
      <c r="Q13" s="1" t="str">
        <f>IFERROR(__xludf.DUMMYFUNCTION("""COMPUTED_VALUE"""),"Перевод между 16сс и 8сс")</f>
        <v>Перевод между 16сс и 8сс</v>
      </c>
      <c r="R13" s="1">
        <f>IFERROR(__xludf.DUMMYFUNCTION("""COMPUTED_VALUE"""),812.0)</f>
        <v>812</v>
      </c>
      <c r="S13" s="1" t="str">
        <f>IFERROR(__xludf.DUMMYFUNCTION("""COMPUTED_VALUE"""),"Функция СЧЕТЕСЛИ")</f>
        <v>Функция СЧЕТЕСЛИ</v>
      </c>
      <c r="T13" s="1">
        <f>IFERROR(__xludf.DUMMYFUNCTION("""COMPUTED_VALUE"""),912.0)</f>
        <v>912</v>
      </c>
      <c r="U13" s="1"/>
      <c r="V13" s="1"/>
      <c r="W13" s="1"/>
      <c r="X13" s="1"/>
      <c r="Y13" s="1"/>
      <c r="Z13" s="1"/>
    </row>
    <row r="14">
      <c r="A14" s="1" t="str">
        <f>IFERROR(__xludf.DUMMYFUNCTION("""COMPUTED_VALUE"""),"Проверка чисел на простоту ")</f>
        <v>Проверка чисел на простоту </v>
      </c>
      <c r="B14" s="1">
        <f>IFERROR(__xludf.DUMMYFUNCTION("""COMPUTED_VALUE"""),13.0)</f>
        <v>13</v>
      </c>
      <c r="C14" s="1" t="str">
        <f>IFERROR(__xludf.DUMMYFUNCTION("""COMPUTED_VALUE"""),"Уровни дискретизации ")</f>
        <v>Уровни дискретизации </v>
      </c>
      <c r="D14" s="1">
        <f>IFERROR(__xludf.DUMMYFUNCTION("""COMPUTED_VALUE"""),113.0)</f>
        <v>113</v>
      </c>
      <c r="E14" s="1" t="str">
        <f>IFERROR(__xludf.DUMMYFUNCTION("""COMPUTED_VALUE"""),"Матрица смежности графа")</f>
        <v>Матрица смежности графа</v>
      </c>
      <c r="F14" s="1">
        <f>IFERROR(__xludf.DUMMYFUNCTION("""COMPUTED_VALUE"""),213.0)</f>
        <v>213</v>
      </c>
      <c r="G14" s="1" t="str">
        <f>IFERROR(__xludf.DUMMYFUNCTION("""COMPUTED_VALUE"""),"Сортировка списков")</f>
        <v>Сортировка списков</v>
      </c>
      <c r="H14" s="1">
        <f>IFERROR(__xludf.DUMMYFUNCTION("""COMPUTED_VALUE"""),313.0)</f>
        <v>313</v>
      </c>
      <c r="I14" s="1"/>
      <c r="J14" s="1"/>
      <c r="K14" s="1"/>
      <c r="L14" s="1"/>
      <c r="M14" s="1" t="str">
        <f>IFERROR(__xludf.DUMMYFUNCTION("""COMPUTED_VALUE"""),"Неотрицательные числа")</f>
        <v>Неотрицательные числа</v>
      </c>
      <c r="N14" s="1">
        <f>IFERROR(__xludf.DUMMYFUNCTION("""COMPUTED_VALUE"""),613.0)</f>
        <v>613</v>
      </c>
      <c r="O14" s="1" t="str">
        <f>IFERROR(__xludf.DUMMYFUNCTION("""COMPUTED_VALUE"""),"Алгоритм ")</f>
        <v>Алгоритм </v>
      </c>
      <c r="P14" s="1">
        <f>IFERROR(__xludf.DUMMYFUNCTION("""COMPUTED_VALUE"""),713.0)</f>
        <v>713</v>
      </c>
      <c r="Q14" s="1" t="str">
        <f>IFERROR(__xludf.DUMMYFUNCTION("""COMPUTED_VALUE"""),"Количество элементов в промежутке, отрезке")</f>
        <v>Количество элементов в промежутке, отрезке</v>
      </c>
      <c r="R14" s="1">
        <f>IFERROR(__xludf.DUMMYFUNCTION("""COMPUTED_VALUE"""),813.0)</f>
        <v>813</v>
      </c>
      <c r="S14" s="1" t="str">
        <f>IFERROR(__xludf.DUMMYFUNCTION("""COMPUTED_VALUE"""),"Фильтрация ")</f>
        <v>Фильтрация </v>
      </c>
      <c r="T14" s="1">
        <f>IFERROR(__xludf.DUMMYFUNCTION("""COMPUTED_VALUE"""),913.0)</f>
        <v>913</v>
      </c>
      <c r="U14" s="1"/>
      <c r="V14" s="1"/>
      <c r="W14" s="1"/>
      <c r="X14" s="1"/>
      <c r="Y14" s="1"/>
      <c r="Z14" s="1"/>
    </row>
    <row r="15">
      <c r="A15" s="1" t="str">
        <f>IFERROR(__xludf.DUMMYFUNCTION("""COMPUTED_VALUE"""),"Умение пользоваться редактором электронных таблиц")</f>
        <v>Умение пользоваться редактором электронных таблиц</v>
      </c>
      <c r="B15" s="1">
        <f>IFERROR(__xludf.DUMMYFUNCTION("""COMPUTED_VALUE"""),14.0)</f>
        <v>14</v>
      </c>
      <c r="C15" s="1" t="str">
        <f>IFERROR(__xludf.DUMMYFUNCTION("""COMPUTED_VALUE"""),"Степени двойки")</f>
        <v>Степени двойки</v>
      </c>
      <c r="D15" s="1">
        <f>IFERROR(__xludf.DUMMYFUNCTION("""COMPUTED_VALUE"""),114.0)</f>
        <v>114</v>
      </c>
      <c r="E15" s="1" t="str">
        <f>IFERROR(__xludf.DUMMYFUNCTION("""COMPUTED_VALUE"""),"Длина пути ")</f>
        <v>Длина пути </v>
      </c>
      <c r="F15" s="1">
        <f>IFERROR(__xludf.DUMMYFUNCTION("""COMPUTED_VALUE"""),214.0)</f>
        <v>214</v>
      </c>
      <c r="G15" s="1" t="str">
        <f>IFERROR(__xludf.DUMMYFUNCTION("""COMPUTED_VALUE"""),"Функции и процедуры")</f>
        <v>Функции и процедуры</v>
      </c>
      <c r="H15" s="1">
        <f>IFERROR(__xludf.DUMMYFUNCTION("""COMPUTED_VALUE"""),314.0)</f>
        <v>314</v>
      </c>
      <c r="I15" s="1"/>
      <c r="J15" s="1"/>
      <c r="K15" s="1"/>
      <c r="L15" s="1"/>
      <c r="M15" s="1" t="str">
        <f>IFERROR(__xludf.DUMMYFUNCTION("""COMPUTED_VALUE"""),"Положительные числа")</f>
        <v>Положительные числа</v>
      </c>
      <c r="N15" s="1">
        <f>IFERROR(__xludf.DUMMYFUNCTION("""COMPUTED_VALUE"""),614.0)</f>
        <v>614</v>
      </c>
      <c r="O15" s="1" t="str">
        <f>IFERROR(__xludf.DUMMYFUNCTION("""COMPUTED_VALUE"""),"Исполнители алгоритмов ")</f>
        <v>Исполнители алгоритмов </v>
      </c>
      <c r="P15" s="1">
        <f>IFERROR(__xludf.DUMMYFUNCTION("""COMPUTED_VALUE"""),714.0)</f>
        <v>714</v>
      </c>
      <c r="Q15" s="1" t="str">
        <f>IFERROR(__xludf.DUMMYFUNCTION("""COMPUTED_VALUE"""),"Формула замены вычитания в любой СС")</f>
        <v>Формула замены вычитания в любой СС</v>
      </c>
      <c r="R15" s="1">
        <f>IFERROR(__xludf.DUMMYFUNCTION("""COMPUTED_VALUE"""),814.0)</f>
        <v>814</v>
      </c>
      <c r="S15" s="1" t="str">
        <f>IFERROR(__xludf.DUMMYFUNCTION("""COMPUTED_VALUE"""),"Сортировка по возрастанию")</f>
        <v>Сортировка по возрастанию</v>
      </c>
      <c r="T15" s="1">
        <f>IFERROR(__xludf.DUMMYFUNCTION("""COMPUTED_VALUE"""),914.0)</f>
        <v>914</v>
      </c>
      <c r="U15" s="1"/>
      <c r="V15" s="1"/>
      <c r="W15" s="1"/>
      <c r="X15" s="1"/>
      <c r="Y15" s="1"/>
      <c r="Z15" s="1"/>
    </row>
    <row r="16">
      <c r="A16" s="1" t="str">
        <f>IFERROR(__xludf.DUMMYFUNCTION("""COMPUTED_VALUE"""),"Умение пользоваться редактором текста ")</f>
        <v>Умение пользоваться редактором текста </v>
      </c>
      <c r="B16" s="1">
        <f>IFERROR(__xludf.DUMMYFUNCTION("""COMPUTED_VALUE"""),15.0)</f>
        <v>15</v>
      </c>
      <c r="C16" s="1" t="str">
        <f>IFERROR(__xludf.DUMMYFUNCTION("""COMPUTED_VALUE"""),"Информационный вес одного символа")</f>
        <v>Информационный вес одного символа</v>
      </c>
      <c r="D16" s="1">
        <f>IFERROR(__xludf.DUMMYFUNCTION("""COMPUTED_VALUE"""),115.0)</f>
        <v>115</v>
      </c>
      <c r="E16" s="1" t="str">
        <f>IFERROR(__xludf.DUMMYFUNCTION("""COMPUTED_VALUE"""),"Количество дорог, путей, программ")</f>
        <v>Количество дорог, путей, программ</v>
      </c>
      <c r="F16" s="1">
        <f>IFERROR(__xludf.DUMMYFUNCTION("""COMPUTED_VALUE"""),215.0)</f>
        <v>215</v>
      </c>
      <c r="G16" s="1" t="str">
        <f>IFERROR(__xludf.DUMMYFUNCTION("""COMPUTED_VALUE"""),"Рекурсия")</f>
        <v>Рекурсия</v>
      </c>
      <c r="H16" s="1">
        <f>IFERROR(__xludf.DUMMYFUNCTION("""COMPUTED_VALUE"""),315.0)</f>
        <v>315</v>
      </c>
      <c r="I16" s="1"/>
      <c r="J16" s="1"/>
      <c r="K16" s="1"/>
      <c r="L16" s="1"/>
      <c r="M16" s="1" t="str">
        <f>IFERROR(__xludf.DUMMYFUNCTION("""COMPUTED_VALUE"""),"НОД")</f>
        <v>НОД</v>
      </c>
      <c r="N16" s="1">
        <f>IFERROR(__xludf.DUMMYFUNCTION("""COMPUTED_VALUE"""),615.0)</f>
        <v>615</v>
      </c>
      <c r="O16" s="1" t="str">
        <f>IFERROR(__xludf.DUMMYFUNCTION("""COMPUTED_VALUE"""),"Команды исполнителя ")</f>
        <v>Команды исполнителя </v>
      </c>
      <c r="P16" s="1">
        <f>IFERROR(__xludf.DUMMYFUNCTION("""COMPUTED_VALUE"""),715.0)</f>
        <v>715</v>
      </c>
      <c r="Q16" s="1" t="str">
        <f>IFERROR(__xludf.DUMMYFUNCTION("""COMPUTED_VALUE"""),"Вычитание нестепенного числа")</f>
        <v>Вычитание нестепенного числа</v>
      </c>
      <c r="R16" s="1">
        <f>IFERROR(__xludf.DUMMYFUNCTION("""COMPUTED_VALUE"""),815.0)</f>
        <v>815</v>
      </c>
      <c r="S16" s="1" t="str">
        <f>IFERROR(__xludf.DUMMYFUNCTION("""COMPUTED_VALUE"""),"Сортировка по убыванию")</f>
        <v>Сортировка по убыванию</v>
      </c>
      <c r="T16" s="1">
        <f>IFERROR(__xludf.DUMMYFUNCTION("""COMPUTED_VALUE"""),915.0)</f>
        <v>915</v>
      </c>
      <c r="U16" s="1"/>
      <c r="V16" s="1"/>
      <c r="W16" s="1"/>
      <c r="X16" s="1"/>
      <c r="Y16" s="1"/>
      <c r="Z16" s="1"/>
    </row>
    <row r="17">
      <c r="A17" s="1" t="str">
        <f>IFERROR(__xludf.DUMMYFUNCTION("""COMPUTED_VALUE"""),"Умение построить круговую диаграмму в редакторе таблиц")</f>
        <v>Умение построить круговую диаграмму в редакторе таблиц</v>
      </c>
      <c r="B17" s="1">
        <f>IFERROR(__xludf.DUMMYFUNCTION("""COMPUTED_VALUE"""),16.0)</f>
        <v>16</v>
      </c>
      <c r="C17" s="1" t="str">
        <f>IFERROR(__xludf.DUMMYFUNCTION("""COMPUTED_VALUE"""),"Алфавит")</f>
        <v>Алфавит</v>
      </c>
      <c r="D17" s="1">
        <f>IFERROR(__xludf.DUMMYFUNCTION("""COMPUTED_VALUE"""),116.0)</f>
        <v>116</v>
      </c>
      <c r="E17" s="1" t="str">
        <f>IFERROR(__xludf.DUMMYFUNCTION("""COMPUTED_VALUE"""),"Кратчайший путь ")</f>
        <v>Кратчайший путь </v>
      </c>
      <c r="F17" s="1">
        <f>IFERROR(__xludf.DUMMYFUNCTION("""COMPUTED_VALUE"""),216.0)</f>
        <v>216</v>
      </c>
      <c r="G17" s="1" t="str">
        <f>IFERROR(__xludf.DUMMYFUNCTION("""COMPUTED_VALUE"""),"Поиск минимального значения ")</f>
        <v>Поиск минимального значения </v>
      </c>
      <c r="H17" s="1">
        <f>IFERROR(__xludf.DUMMYFUNCTION("""COMPUTED_VALUE"""),316.0)</f>
        <v>316</v>
      </c>
      <c r="I17" s="1"/>
      <c r="J17" s="1"/>
      <c r="K17" s="1"/>
      <c r="L17" s="1"/>
      <c r="M17" s="1" t="str">
        <f>IFERROR(__xludf.DUMMYFUNCTION("""COMPUTED_VALUE"""),"НОК")</f>
        <v>НОК</v>
      </c>
      <c r="N17" s="1">
        <f>IFERROR(__xludf.DUMMYFUNCTION("""COMPUTED_VALUE"""),616.0)</f>
        <v>616</v>
      </c>
      <c r="O17" s="1" t="str">
        <f>IFERROR(__xludf.DUMMYFUNCTION("""COMPUTED_VALUE"""),"Логические операции И, ИЛИ, НЕ")</f>
        <v>Логические операции И, ИЛИ, НЕ</v>
      </c>
      <c r="P17" s="1">
        <f>IFERROR(__xludf.DUMMYFUNCTION("""COMPUTED_VALUE"""),716.0)</f>
        <v>716</v>
      </c>
      <c r="Q17" s="1" t="str">
        <f>IFERROR(__xludf.DUMMYFUNCTION("""COMPUTED_VALUE"""),"Основная формула в СС")</f>
        <v>Основная формула в СС</v>
      </c>
      <c r="R17" s="1">
        <f>IFERROR(__xludf.DUMMYFUNCTION("""COMPUTED_VALUE"""),816.0)</f>
        <v>816</v>
      </c>
      <c r="S17" s="1" t="str">
        <f>IFERROR(__xludf.DUMMYFUNCTION("""COMPUTED_VALUE"""),"Сложная сортировка (нескольких столбцов)")</f>
        <v>Сложная сортировка (нескольких столбцов)</v>
      </c>
      <c r="T17" s="1">
        <f>IFERROR(__xludf.DUMMYFUNCTION("""COMPUTED_VALUE"""),916.0)</f>
        <v>916</v>
      </c>
      <c r="U17" s="1"/>
      <c r="V17" s="1"/>
      <c r="W17" s="1"/>
      <c r="X17" s="1"/>
      <c r="Y17" s="1"/>
      <c r="Z17" s="1"/>
    </row>
    <row r="18">
      <c r="A18" s="1" t="str">
        <f>IFERROR(__xludf.DUMMYFUNCTION("""COMPUTED_VALUE"""),"Умение построить дерево вариантов")</f>
        <v>Умение построить дерево вариантов</v>
      </c>
      <c r="B18" s="1">
        <f>IFERROR(__xludf.DUMMYFUNCTION("""COMPUTED_VALUE"""),17.0)</f>
        <v>17</v>
      </c>
      <c r="C18" s="1" t="str">
        <f>IFERROR(__xludf.DUMMYFUNCTION("""COMPUTED_VALUE"""),"Мощность алфавита")</f>
        <v>Мощность алфавита</v>
      </c>
      <c r="D18" s="1">
        <f>IFERROR(__xludf.DUMMYFUNCTION("""COMPUTED_VALUE"""),117.0)</f>
        <v>117</v>
      </c>
      <c r="E18" s="1" t="str">
        <f>IFERROR(__xludf.DUMMYFUNCTION("""COMPUTED_VALUE"""),"Проходящая траектория")</f>
        <v>Проходящая траектория</v>
      </c>
      <c r="F18" s="1">
        <f>IFERROR(__xludf.DUMMYFUNCTION("""COMPUTED_VALUE"""),217.0)</f>
        <v>217</v>
      </c>
      <c r="G18" s="1" t="str">
        <f>IFERROR(__xludf.DUMMYFUNCTION("""COMPUTED_VALUE"""),"Поиск максимального значения ")</f>
        <v>Поиск максимального значения </v>
      </c>
      <c r="H18" s="1">
        <f>IFERROR(__xludf.DUMMYFUNCTION("""COMPUTED_VALUE"""),317.0)</f>
        <v>317</v>
      </c>
      <c r="I18" s="1"/>
      <c r="J18" s="1"/>
      <c r="K18" s="1"/>
      <c r="L18" s="1"/>
      <c r="M18" s="1" t="str">
        <f>IFERROR(__xludf.DUMMYFUNCTION("""COMPUTED_VALUE"""),"Формула следования")</f>
        <v>Формула следования</v>
      </c>
      <c r="N18" s="1">
        <f>IFERROR(__xludf.DUMMYFUNCTION("""COMPUTED_VALUE"""),617.0)</f>
        <v>617</v>
      </c>
      <c r="O18" s="1" t="str">
        <f>IFERROR(__xludf.DUMMYFUNCTION("""COMPUTED_VALUE"""),"Последовательность команд")</f>
        <v>Последовательность команд</v>
      </c>
      <c r="P18" s="1">
        <f>IFERROR(__xludf.DUMMYFUNCTION("""COMPUTED_VALUE"""),717.0)</f>
        <v>717</v>
      </c>
      <c r="Q18" s="1" t="str">
        <f>IFERROR(__xludf.DUMMYFUNCTION("""COMPUTED_VALUE"""),"Четность различных СС")</f>
        <v>Четность различных СС</v>
      </c>
      <c r="R18" s="1">
        <f>IFERROR(__xludf.DUMMYFUNCTION("""COMPUTED_VALUE"""),817.0)</f>
        <v>817</v>
      </c>
      <c r="S18" s="1" t="str">
        <f>IFERROR(__xludf.DUMMYFUNCTION("""COMPUTED_VALUE"""),"Поиск в текстовом редакторе")</f>
        <v>Поиск в текстовом редакторе</v>
      </c>
      <c r="T18" s="1">
        <f>IFERROR(__xludf.DUMMYFUNCTION("""COMPUTED_VALUE"""),917.0)</f>
        <v>917</v>
      </c>
      <c r="U18" s="1"/>
      <c r="V18" s="1"/>
      <c r="W18" s="1"/>
      <c r="X18" s="1"/>
      <c r="Y18" s="1"/>
      <c r="Z18" s="1"/>
    </row>
    <row r="19">
      <c r="A19" s="1" t="str">
        <f>IFERROR(__xludf.DUMMYFUNCTION("""COMPUTED_VALUE"""),"Умение пользоваться редактором презентаций ")</f>
        <v>Умение пользоваться редактором презентаций </v>
      </c>
      <c r="B19" s="1">
        <f>IFERROR(__xludf.DUMMYFUNCTION("""COMPUTED_VALUE"""),18.0)</f>
        <v>18</v>
      </c>
      <c r="C19" s="1" t="str">
        <f>IFERROR(__xludf.DUMMYFUNCTION("""COMPUTED_VALUE"""),"Объем текстовой информации")</f>
        <v>Объем текстовой информации</v>
      </c>
      <c r="D19" s="1">
        <f>IFERROR(__xludf.DUMMYFUNCTION("""COMPUTED_VALUE"""),118.0)</f>
        <v>118</v>
      </c>
      <c r="E19" s="1" t="str">
        <f>IFERROR(__xludf.DUMMYFUNCTION("""COMPUTED_VALUE"""),"Непроходящая траектория ")</f>
        <v>Непроходящая траектория </v>
      </c>
      <c r="F19" s="1">
        <f>IFERROR(__xludf.DUMMYFUNCTION("""COMPUTED_VALUE"""),218.0)</f>
        <v>218</v>
      </c>
      <c r="G19" s="1" t="str">
        <f>IFERROR(__xludf.DUMMYFUNCTION("""COMPUTED_VALUE"""),"Поиск количества элементов")</f>
        <v>Поиск количества элементов</v>
      </c>
      <c r="H19" s="1">
        <f>IFERROR(__xludf.DUMMYFUNCTION("""COMPUTED_VALUE"""),318.0)</f>
        <v>318</v>
      </c>
      <c r="I19" s="1"/>
      <c r="J19" s="1"/>
      <c r="K19" s="1"/>
      <c r="L19" s="1"/>
      <c r="M19" s="1" t="str">
        <f>IFERROR(__xludf.DUMMYFUNCTION("""COMPUTED_VALUE"""),"Закон двойного отрицания")</f>
        <v>Закон двойного отрицания</v>
      </c>
      <c r="N19" s="1">
        <f>IFERROR(__xludf.DUMMYFUNCTION("""COMPUTED_VALUE"""),618.0)</f>
        <v>618</v>
      </c>
      <c r="O19" s="1" t="str">
        <f>IFERROR(__xludf.DUMMYFUNCTION("""COMPUTED_VALUE"""),"Арифметические операции")</f>
        <v>Арифметические операции</v>
      </c>
      <c r="P19" s="1">
        <f>IFERROR(__xludf.DUMMYFUNCTION("""COMPUTED_VALUE"""),718.0)</f>
        <v>718</v>
      </c>
      <c r="Q19" s="1" t="str">
        <f>IFERROR(__xludf.DUMMYFUNCTION("""COMPUTED_VALUE"""),"Разряды чисел в Ncc")</f>
        <v>Разряды чисел в Ncc</v>
      </c>
      <c r="R19" s="1">
        <f>IFERROR(__xludf.DUMMYFUNCTION("""COMPUTED_VALUE"""),818.0)</f>
        <v>818</v>
      </c>
      <c r="S19" s="1" t="str">
        <f>IFERROR(__xludf.DUMMYFUNCTION("""COMPUTED_VALUE"""),"Расширенный поиск")</f>
        <v>Расширенный поиск</v>
      </c>
      <c r="T19" s="1">
        <f>IFERROR(__xludf.DUMMYFUNCTION("""COMPUTED_VALUE"""),918.0)</f>
        <v>918</v>
      </c>
      <c r="U19" s="1"/>
      <c r="V19" s="1"/>
      <c r="W19" s="1"/>
      <c r="X19" s="1"/>
      <c r="Y19" s="1"/>
      <c r="Z19" s="1"/>
    </row>
    <row r="20">
      <c r="A20" s="1" t="str">
        <f>IFERROR(__xludf.DUMMYFUNCTION("""COMPUTED_VALUE"""),"Умение составлять уравнения/неравенства ")</f>
        <v>Умение составлять уравнения/неравенства </v>
      </c>
      <c r="B20" s="1">
        <f>IFERROR(__xludf.DUMMYFUNCTION("""COMPUTED_VALUE"""),19.0)</f>
        <v>19</v>
      </c>
      <c r="C20" s="1" t="str">
        <f>IFERROR(__xludf.DUMMYFUNCTION("""COMPUTED_VALUE"""),"Передача информации")</f>
        <v>Передача информации</v>
      </c>
      <c r="D20" s="1">
        <f>IFERROR(__xludf.DUMMYFUNCTION("""COMPUTED_VALUE"""),119.0)</f>
        <v>119</v>
      </c>
      <c r="E20" s="1" t="str">
        <f>IFERROR(__xludf.DUMMYFUNCTION("""COMPUTED_VALUE"""),"Формула пересечения связанных событий при раздельном подсчете в динамике ")</f>
        <v>Формула пересечения связанных событий при раздельном подсчете в динамике </v>
      </c>
      <c r="F20" s="1">
        <f>IFERROR(__xludf.DUMMYFUNCTION("""COMPUTED_VALUE"""),219.0)</f>
        <v>219</v>
      </c>
      <c r="G20" s="1" t="str">
        <f>IFERROR(__xludf.DUMMYFUNCTION("""COMPUTED_VALUE"""),"Поиск суммы элементов ")</f>
        <v>Поиск суммы элементов </v>
      </c>
      <c r="H20" s="1">
        <f>IFERROR(__xludf.DUMMYFUNCTION("""COMPUTED_VALUE"""),319.0)</f>
        <v>319</v>
      </c>
      <c r="I20" s="1"/>
      <c r="J20" s="1"/>
      <c r="K20" s="1"/>
      <c r="L20" s="1"/>
      <c r="M20" s="1" t="str">
        <f>IFERROR(__xludf.DUMMYFUNCTION("""COMPUTED_VALUE"""),"Закон Де Моргана")</f>
        <v>Закон Де Моргана</v>
      </c>
      <c r="N20" s="1">
        <f>IFERROR(__xludf.DUMMYFUNCTION("""COMPUTED_VALUE"""),619.0)</f>
        <v>619</v>
      </c>
      <c r="O20" s="1" t="str">
        <f>IFERROR(__xludf.DUMMYFUNCTION("""COMPUTED_VALUE"""),"Наименьшее, наибольшее числа")</f>
        <v>Наименьшее, наибольшее числа</v>
      </c>
      <c r="P20" s="1">
        <f>IFERROR(__xludf.DUMMYFUNCTION("""COMPUTED_VALUE"""),719.0)</f>
        <v>719</v>
      </c>
      <c r="Q20" s="1"/>
      <c r="R20" s="1"/>
      <c r="S20" s="1" t="str">
        <f>IFERROR(__xludf.DUMMYFUNCTION("""COMPUTED_VALUE"""),"Параметры поиска ")</f>
        <v>Параметры поиска </v>
      </c>
      <c r="T20" s="1">
        <f>IFERROR(__xludf.DUMMYFUNCTION("""COMPUTED_VALUE"""),919.0)</f>
        <v>919</v>
      </c>
      <c r="U20" s="1"/>
      <c r="V20" s="1"/>
      <c r="W20" s="1"/>
      <c r="X20" s="1"/>
      <c r="Y20" s="1"/>
      <c r="Z20" s="1"/>
    </row>
    <row r="21">
      <c r="A21" s="1" t="str">
        <f>IFERROR(__xludf.DUMMYFUNCTION("""COMPUTED_VALUE"""),"Умение пользоваться средой программирования ")</f>
        <v>Умение пользоваться средой программирования </v>
      </c>
      <c r="B21" s="1">
        <f>IFERROR(__xludf.DUMMYFUNCTION("""COMPUTED_VALUE"""),20.0)</f>
        <v>20</v>
      </c>
      <c r="C21" s="1" t="str">
        <f>IFERROR(__xludf.DUMMYFUNCTION("""COMPUTED_VALUE"""),"Скорость передачи информации")</f>
        <v>Скорость передачи информации</v>
      </c>
      <c r="D21" s="1">
        <f>IFERROR(__xludf.DUMMYFUNCTION("""COMPUTED_VALUE"""),120.0)</f>
        <v>120</v>
      </c>
      <c r="E21" s="1"/>
      <c r="F21" s="1"/>
      <c r="G21" s="1" t="str">
        <f>IFERROR(__xludf.DUMMYFUNCTION("""COMPUTED_VALUE"""),"Работа с файлом ")</f>
        <v>Работа с файлом </v>
      </c>
      <c r="H21" s="1">
        <f>IFERROR(__xludf.DUMMYFUNCTION("""COMPUTED_VALUE"""),320.0)</f>
        <v>320</v>
      </c>
      <c r="I21" s="1"/>
      <c r="J21" s="1"/>
      <c r="K21" s="1"/>
      <c r="L21" s="1"/>
      <c r="M21" s="1" t="str">
        <f>IFERROR(__xludf.DUMMYFUNCTION("""COMPUTED_VALUE"""),"Законы логики ")</f>
        <v>Законы логики </v>
      </c>
      <c r="N21" s="1">
        <f>IFERROR(__xludf.DUMMYFUNCTION("""COMPUTED_VALUE"""),620.0)</f>
        <v>620</v>
      </c>
      <c r="O21" s="1" t="str">
        <f>IFERROR(__xludf.DUMMYFUNCTION("""COMPUTED_VALUE"""),"Траектория вычислений")</f>
        <v>Траектория вычислений</v>
      </c>
      <c r="P21" s="1">
        <f>IFERROR(__xludf.DUMMYFUNCTION("""COMPUTED_VALUE"""),720.0)</f>
        <v>720</v>
      </c>
      <c r="Q21" s="1"/>
      <c r="R21" s="1"/>
      <c r="S21" s="1" t="str">
        <f>IFERROR(__xludf.DUMMYFUNCTION("""COMPUTED_VALUE"""),"Замена в текстовом редакторе")</f>
        <v>Замена в текстовом редакторе</v>
      </c>
      <c r="T21" s="1">
        <f>IFERROR(__xludf.DUMMYFUNCTION("""COMPUTED_VALUE"""),920.0)</f>
        <v>920</v>
      </c>
      <c r="U21" s="1"/>
      <c r="V21" s="1"/>
      <c r="W21" s="1"/>
      <c r="X21" s="1"/>
      <c r="Y21" s="1"/>
      <c r="Z21" s="1"/>
    </row>
    <row r="22">
      <c r="A22" s="1" t="str">
        <f>IFERROR(__xludf.DUMMYFUNCTION("""COMPUTED_VALUE"""),"Умение пользоваться поиском на компьютере ")</f>
        <v>Умение пользоваться поиском на компьютере </v>
      </c>
      <c r="B22" s="1">
        <f>IFERROR(__xludf.DUMMYFUNCTION("""COMPUTED_VALUE"""),21.0)</f>
        <v>21</v>
      </c>
      <c r="C22" s="1" t="str">
        <f>IFERROR(__xludf.DUMMYFUNCTION("""COMPUTED_VALUE"""),"Декодирование информации")</f>
        <v>Декодирование информации</v>
      </c>
      <c r="D22" s="1">
        <f>IFERROR(__xludf.DUMMYFUNCTION("""COMPUTED_VALUE"""),121.0)</f>
        <v>121</v>
      </c>
      <c r="E22" s="1"/>
      <c r="F22" s="1"/>
      <c r="G22" s="1" t="str">
        <f>IFERROR(__xludf.DUMMYFUNCTION("""COMPUTED_VALUE"""),"Вложенные циклы")</f>
        <v>Вложенные циклы</v>
      </c>
      <c r="H22" s="1">
        <f>IFERROR(__xludf.DUMMYFUNCTION("""COMPUTED_VALUE"""),321.0)</f>
        <v>321</v>
      </c>
      <c r="I22" s="1"/>
      <c r="J22" s="1"/>
      <c r="K22" s="1"/>
      <c r="L22" s="1"/>
      <c r="M22" s="1" t="str">
        <f>IFERROR(__xludf.DUMMYFUNCTION("""COMPUTED_VALUE"""),"Множества")</f>
        <v>Множества</v>
      </c>
      <c r="N22" s="1">
        <f>IFERROR(__xludf.DUMMYFUNCTION("""COMPUTED_VALUE"""),621.0)</f>
        <v>621</v>
      </c>
      <c r="O22" s="1"/>
      <c r="P22" s="1"/>
      <c r="Q22" s="1"/>
      <c r="R22" s="1"/>
      <c r="S22" s="1" t="str">
        <f>IFERROR(__xludf.DUMMYFUNCTION("""COMPUTED_VALUE"""),"Параметры замены")</f>
        <v>Параметры замены</v>
      </c>
      <c r="T22" s="1">
        <f>IFERROR(__xludf.DUMMYFUNCTION("""COMPUTED_VALUE"""),921.0)</f>
        <v>921</v>
      </c>
      <c r="U22" s="1"/>
      <c r="V22" s="1"/>
      <c r="W22" s="1"/>
      <c r="X22" s="1"/>
      <c r="Y22" s="1"/>
      <c r="Z22" s="1"/>
    </row>
    <row r="23">
      <c r="A23" s="1" t="str">
        <f>IFERROR(__xludf.DUMMYFUNCTION("""COMPUTED_VALUE"""),"Умение находить информацию в файле ")</f>
        <v>Умение находить информацию в файле </v>
      </c>
      <c r="B23" s="1">
        <f>IFERROR(__xludf.DUMMYFUNCTION("""COMPUTED_VALUE"""),22.0)</f>
        <v>22</v>
      </c>
      <c r="C23" s="1" t="str">
        <f>IFERROR(__xludf.DUMMYFUNCTION("""COMPUTED_VALUE"""),"16-битные кодировки")</f>
        <v>16-битные кодировки</v>
      </c>
      <c r="D23" s="1">
        <f>IFERROR(__xludf.DUMMYFUNCTION("""COMPUTED_VALUE"""),122.0)</f>
        <v>122</v>
      </c>
      <c r="E23" s="1"/>
      <c r="F23" s="1"/>
      <c r="G23" s="1" t="str">
        <f>IFERROR(__xludf.DUMMYFUNCTION("""COMPUTED_VALUE"""),"Скобки и приоритет операций в условиях")</f>
        <v>Скобки и приоритет операций в условиях</v>
      </c>
      <c r="H23" s="1">
        <f>IFERROR(__xludf.DUMMYFUNCTION("""COMPUTED_VALUE"""),322.0)</f>
        <v>322</v>
      </c>
      <c r="I23" s="1"/>
      <c r="J23" s="1"/>
      <c r="K23" s="1"/>
      <c r="L23" s="1"/>
      <c r="M23" s="1" t="str">
        <f>IFERROR(__xludf.DUMMYFUNCTION("""COMPUTED_VALUE"""),"Пересечение множеств ")</f>
        <v>Пересечение множеств </v>
      </c>
      <c r="N23" s="1">
        <f>IFERROR(__xludf.DUMMYFUNCTION("""COMPUTED_VALUE"""),622.0)</f>
        <v>622</v>
      </c>
      <c r="O23" s="1"/>
      <c r="P23" s="1"/>
      <c r="Q23" s="1"/>
      <c r="R23" s="1"/>
      <c r="S23" s="1" t="str">
        <f>IFERROR(__xludf.DUMMYFUNCTION("""COMPUTED_VALUE"""),"Функция СУММЕСЛИ")</f>
        <v>Функция СУММЕСЛИ</v>
      </c>
      <c r="T23" s="1">
        <f>IFERROR(__xludf.DUMMYFUNCTION("""COMPUTED_VALUE"""),922.0)</f>
        <v>922</v>
      </c>
      <c r="U23" s="1"/>
      <c r="V23" s="1"/>
      <c r="W23" s="1"/>
      <c r="X23" s="1"/>
      <c r="Y23" s="1"/>
      <c r="Z23" s="1"/>
    </row>
    <row r="24">
      <c r="A24" s="1" t="str">
        <f>IFERROR(__xludf.DUMMYFUNCTION("""COMPUTED_VALUE"""),"Анализ данных")</f>
        <v>Анализ данных</v>
      </c>
      <c r="B24" s="1">
        <f>IFERROR(__xludf.DUMMYFUNCTION("""COMPUTED_VALUE"""),23.0)</f>
        <v>23</v>
      </c>
      <c r="C24" s="1" t="str">
        <f>IFERROR(__xludf.DUMMYFUNCTION("""COMPUTED_VALUE"""),"Кодировка Unicode")</f>
        <v>Кодировка Unicode</v>
      </c>
      <c r="D24" s="1">
        <f>IFERROR(__xludf.DUMMYFUNCTION("""COMPUTED_VALUE"""),123.0)</f>
        <v>123</v>
      </c>
      <c r="E24" s="1"/>
      <c r="F24" s="1"/>
      <c r="G24" s="1" t="str">
        <f>IFERROR(__xludf.DUMMYFUNCTION("""COMPUTED_VALUE"""),"Срезы ")</f>
        <v>Срезы </v>
      </c>
      <c r="H24" s="1">
        <f>IFERROR(__xludf.DUMMYFUNCTION("""COMPUTED_VALUE"""),323.0)</f>
        <v>323</v>
      </c>
      <c r="I24" s="1"/>
      <c r="J24" s="1"/>
      <c r="K24" s="1"/>
      <c r="L24" s="1"/>
      <c r="M24" s="1" t="str">
        <f>IFERROR(__xludf.DUMMYFUNCTION("""COMPUTED_VALUE"""),"Круги Эйлера ")</f>
        <v>Круги Эйлера </v>
      </c>
      <c r="N24" s="1">
        <f>IFERROR(__xludf.DUMMYFUNCTION("""COMPUTED_VALUE"""),623.0)</f>
        <v>623</v>
      </c>
      <c r="O24" s="1"/>
      <c r="P24" s="1"/>
      <c r="Q24" s="1"/>
      <c r="R24" s="1"/>
      <c r="S24" s="1" t="str">
        <f>IFERROR(__xludf.DUMMYFUNCTION("""COMPUTED_VALUE"""),"Функция СУММЕСЛИМН")</f>
        <v>Функция СУММЕСЛИМН</v>
      </c>
      <c r="T24" s="1">
        <f>IFERROR(__xludf.DUMMYFUNCTION("""COMPUTED_VALUE"""),923.0)</f>
        <v>923</v>
      </c>
      <c r="U24" s="1"/>
      <c r="V24" s="1"/>
      <c r="W24" s="1"/>
      <c r="X24" s="1"/>
      <c r="Y24" s="1"/>
      <c r="Z24" s="1"/>
    </row>
    <row r="25">
      <c r="A25" s="1" t="str">
        <f>IFERROR(__xludf.DUMMYFUNCTION("""COMPUTED_VALUE"""),"Умение перевести алгоритм решения на язык программирования ")</f>
        <v>Умение перевести алгоритм решения на язык программирования </v>
      </c>
      <c r="B25" s="1">
        <f>IFERROR(__xludf.DUMMYFUNCTION("""COMPUTED_VALUE"""),24.0)</f>
        <v>24</v>
      </c>
      <c r="C25" s="1" t="str">
        <f>IFERROR(__xludf.DUMMYFUNCTION("""COMPUTED_VALUE"""),"Кодировка UTF-16")</f>
        <v>Кодировка UTF-16</v>
      </c>
      <c r="D25" s="1">
        <f>IFERROR(__xludf.DUMMYFUNCTION("""COMPUTED_VALUE"""),124.0)</f>
        <v>124</v>
      </c>
      <c r="E25" s="1"/>
      <c r="F25" s="1"/>
      <c r="G25" s="1" t="str">
        <f>IFERROR(__xludf.DUMMYFUNCTION("""COMPUTED_VALUE"""),"Операции над строками")</f>
        <v>Операции над строками</v>
      </c>
      <c r="H25" s="1">
        <f>IFERROR(__xludf.DUMMYFUNCTION("""COMPUTED_VALUE"""),324.0)</f>
        <v>324</v>
      </c>
      <c r="I25" s="1"/>
      <c r="J25" s="1"/>
      <c r="K25" s="1"/>
      <c r="L25" s="1"/>
      <c r="M25" s="1" t="str">
        <f>IFERROR(__xludf.DUMMYFUNCTION("""COMPUTED_VALUE"""),"Объединение множеств ")</f>
        <v>Объединение множеств </v>
      </c>
      <c r="N25" s="1">
        <f>IFERROR(__xludf.DUMMYFUNCTION("""COMPUTED_VALUE"""),624.0)</f>
        <v>624</v>
      </c>
      <c r="O25" s="1"/>
      <c r="P25" s="1"/>
      <c r="Q25" s="1"/>
      <c r="R25" s="1"/>
      <c r="S25" s="1" t="str">
        <f>IFERROR(__xludf.DUMMYFUNCTION("""COMPUTED_VALUE"""),"Функция СЧЕТЕСЛИМН")</f>
        <v>Функция СЧЕТЕСЛИМН</v>
      </c>
      <c r="T25" s="1">
        <f>IFERROR(__xludf.DUMMYFUNCTION("""COMPUTED_VALUE"""),924.0)</f>
        <v>924</v>
      </c>
      <c r="U25" s="1"/>
      <c r="V25" s="1"/>
      <c r="W25" s="1"/>
      <c r="X25" s="1"/>
      <c r="Y25" s="1"/>
      <c r="Z25" s="1"/>
    </row>
    <row r="26">
      <c r="A26" s="1" t="str">
        <f>IFERROR(__xludf.DUMMYFUNCTION("""COMPUTED_VALUE"""),"Сортировка данных")</f>
        <v>Сортировка данных</v>
      </c>
      <c r="B26" s="1">
        <f>IFERROR(__xludf.DUMMYFUNCTION("""COMPUTED_VALUE"""),25.0)</f>
        <v>25</v>
      </c>
      <c r="C26" s="1" t="str">
        <f>IFERROR(__xludf.DUMMYFUNCTION("""COMPUTED_VALUE"""),"8-битные кодировки")</f>
        <v>8-битные кодировки</v>
      </c>
      <c r="D26" s="1">
        <f>IFERROR(__xludf.DUMMYFUNCTION("""COMPUTED_VALUE"""),125.0)</f>
        <v>125</v>
      </c>
      <c r="E26" s="1"/>
      <c r="F26" s="1"/>
      <c r="G26" s="1" t="str">
        <f>IFERROR(__xludf.DUMMYFUNCTION("""COMPUTED_VALUE"""),"Типы данных")</f>
        <v>Типы данных</v>
      </c>
      <c r="H26" s="1">
        <f>IFERROR(__xludf.DUMMYFUNCTION("""COMPUTED_VALUE"""),325.0)</f>
        <v>325</v>
      </c>
      <c r="I26" s="1"/>
      <c r="J26" s="1"/>
      <c r="K26" s="1"/>
      <c r="L26" s="1"/>
      <c r="M26" s="1" t="str">
        <f>IFERROR(__xludf.DUMMYFUNCTION("""COMPUTED_VALUE"""),"Отрезки ")</f>
        <v>Отрезки </v>
      </c>
      <c r="N26" s="1">
        <f>IFERROR(__xludf.DUMMYFUNCTION("""COMPUTED_VALUE"""),625.0)</f>
        <v>625</v>
      </c>
      <c r="O26" s="1"/>
      <c r="P26" s="1"/>
      <c r="Q26" s="1"/>
      <c r="R26" s="1"/>
      <c r="S26" s="1" t="str">
        <f>IFERROR(__xludf.DUMMYFUNCTION("""COMPUTED_VALUE"""),"Неравенство треугольника")</f>
        <v>Неравенство треугольника</v>
      </c>
      <c r="T26" s="1">
        <f>IFERROR(__xludf.DUMMYFUNCTION("""COMPUTED_VALUE"""),925.0)</f>
        <v>925</v>
      </c>
      <c r="U26" s="1"/>
      <c r="V26" s="1"/>
      <c r="W26" s="1"/>
      <c r="X26" s="1"/>
      <c r="Y26" s="1"/>
      <c r="Z26" s="1"/>
    </row>
    <row r="27">
      <c r="A27" s="1" t="str">
        <f>IFERROR(__xludf.DUMMYFUNCTION("""COMPUTED_VALUE"""),"Умение пользоваться основными формулами информатики")</f>
        <v>Умение пользоваться основными формулами информатики</v>
      </c>
      <c r="B27" s="1">
        <f>IFERROR(__xludf.DUMMYFUNCTION("""COMPUTED_VALUE"""),26.0)</f>
        <v>26</v>
      </c>
      <c r="C27" s="1" t="str">
        <f>IFERROR(__xludf.DUMMYFUNCTION("""COMPUTED_VALUE"""),"Кодировка КОИ-8")</f>
        <v>Кодировка КОИ-8</v>
      </c>
      <c r="D27" s="1">
        <f>IFERROR(__xludf.DUMMYFUNCTION("""COMPUTED_VALUE"""),126.0)</f>
        <v>126</v>
      </c>
      <c r="E27" s="1"/>
      <c r="F27" s="1"/>
      <c r="G27" s="1" t="str">
        <f>IFERROR(__xludf.DUMMYFUNCTION("""COMPUTED_VALUE"""),"Индексация ")</f>
        <v>Индексация </v>
      </c>
      <c r="H27" s="1">
        <f>IFERROR(__xludf.DUMMYFUNCTION("""COMPUTED_VALUE"""),326.0)</f>
        <v>326</v>
      </c>
      <c r="I27" s="1"/>
      <c r="J27" s="1"/>
      <c r="K27" s="1"/>
      <c r="L27" s="1"/>
      <c r="M27" s="1" t="str">
        <f>IFERROR(__xludf.DUMMYFUNCTION("""COMPUTED_VALUE"""),"Типы множеств")</f>
        <v>Типы множеств</v>
      </c>
      <c r="N27" s="1">
        <f>IFERROR(__xludf.DUMMYFUNCTION("""COMPUTED_VALUE"""),626.0)</f>
        <v>626</v>
      </c>
      <c r="O27" s="1"/>
      <c r="P27" s="1"/>
      <c r="Q27" s="1"/>
      <c r="R27" s="1"/>
      <c r="S27" s="1" t="str">
        <f>IFERROR(__xludf.DUMMYFUNCTION("""COMPUTED_VALUE"""),"Теорема Пифагора ")</f>
        <v>Теорема Пифагора 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IFERROR(__xludf.DUMMYFUNCTION("""COMPUTED_VALUE"""),"Умение читать и понимать алгоритм")</f>
        <v>Умение читать и понимать алгоритм</v>
      </c>
      <c r="B28" s="1">
        <f>IFERROR(__xludf.DUMMYFUNCTION("""COMPUTED_VALUE"""),27.0)</f>
        <v>27</v>
      </c>
      <c r="C28" s="1" t="str">
        <f>IFERROR(__xludf.DUMMYFUNCTION("""COMPUTED_VALUE"""),"Кодировка UTF-8")</f>
        <v>Кодировка UTF-8</v>
      </c>
      <c r="D28" s="1">
        <f>IFERROR(__xludf.DUMMYFUNCTION("""COMPUTED_VALUE"""),127.0)</f>
        <v>127</v>
      </c>
      <c r="E28" s="1"/>
      <c r="F28" s="1"/>
      <c r="G28" s="1" t="str">
        <f>IFERROR(__xludf.DUMMYFUNCTION("""COMPUTED_VALUE"""),"Поиск длины строки/массива")</f>
        <v>Поиск длины строки/массива</v>
      </c>
      <c r="H28" s="1">
        <f>IFERROR(__xludf.DUMMYFUNCTION("""COMPUTED_VALUE"""),327.0)</f>
        <v>327</v>
      </c>
      <c r="I28" s="1"/>
      <c r="J28" s="1"/>
      <c r="K28" s="1"/>
      <c r="L28" s="1"/>
      <c r="M28" s="1" t="str">
        <f>IFERROR(__xludf.DUMMYFUNCTION("""COMPUTED_VALUE"""),"Подмножества")</f>
        <v>Подмножества</v>
      </c>
      <c r="N28" s="1">
        <f>IFERROR(__xludf.DUMMYFUNCTION("""COMPUTED_VALUE"""),627.0)</f>
        <v>627</v>
      </c>
      <c r="O28" s="1"/>
      <c r="P28" s="1"/>
      <c r="Q28" s="1"/>
      <c r="R28" s="1"/>
      <c r="S28" s="1" t="str">
        <f>IFERROR(__xludf.DUMMYFUNCTION("""COMPUTED_VALUE"""),"Среднееарифметическое значение")</f>
        <v>Среднееарифметическое значение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IFERROR(__xludf.DUMMYFUNCTION("""COMPUTED_VALUE"""),"Умение писать функции в редакторе таблиц")</f>
        <v>Умение писать функции в редакторе таблиц</v>
      </c>
      <c r="B29" s="1">
        <f>IFERROR(__xludf.DUMMYFUNCTION("""COMPUTED_VALUE"""),28.0)</f>
        <v>28</v>
      </c>
      <c r="C29" s="1" t="str">
        <f>IFERROR(__xludf.DUMMYFUNCTION("""COMPUTED_VALUE"""),"Связь единиц измерения информации")</f>
        <v>Связь единиц измерения информации</v>
      </c>
      <c r="D29" s="1">
        <f>IFERROR(__xludf.DUMMYFUNCTION("""COMPUTED_VALUE"""),128.0)</f>
        <v>128</v>
      </c>
      <c r="E29" s="1"/>
      <c r="F29" s="1"/>
      <c r="G29" s="1" t="str">
        <f>IFERROR(__xludf.DUMMYFUNCTION("""COMPUTED_VALUE"""),"Замена подстроки новой подстрокой")</f>
        <v>Замена подстроки новой подстрокой</v>
      </c>
      <c r="H29" s="1">
        <f>IFERROR(__xludf.DUMMYFUNCTION("""COMPUTED_VALUE"""),328.0)</f>
        <v>328</v>
      </c>
      <c r="I29" s="1"/>
      <c r="J29" s="1"/>
      <c r="K29" s="1"/>
      <c r="L29" s="1"/>
      <c r="M29" s="1" t="str">
        <f>IFERROR(__xludf.DUMMYFUNCTION("""COMPUTED_VALUE"""),"Разность двух множеств")</f>
        <v>Разность двух множеств</v>
      </c>
      <c r="N29" s="1">
        <f>IFERROR(__xludf.DUMMYFUNCTION("""COMPUTED_VALUE"""),628.0)</f>
        <v>628</v>
      </c>
      <c r="O29" s="1"/>
      <c r="P29" s="1"/>
      <c r="Q29" s="1"/>
      <c r="R29" s="1"/>
      <c r="S29" s="1" t="str">
        <f>IFERROR(__xludf.DUMMYFUNCTION("""COMPUTED_VALUE"""),"Периметр фигуры ")</f>
        <v>Периметр фигуры 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IFERROR(__xludf.DUMMYFUNCTION("""COMPUTED_VALUE"""),"Умение осуществлять поиск в текстовом редакторе")</f>
        <v>Умение осуществлять поиск в текстовом редакторе</v>
      </c>
      <c r="B30" s="1">
        <f>IFERROR(__xludf.DUMMYFUNCTION("""COMPUTED_VALUE"""),29.0)</f>
        <v>29</v>
      </c>
      <c r="C30" s="1" t="str">
        <f>IFERROR(__xludf.DUMMYFUNCTION("""COMPUTED_VALUE"""),"Частота дискретизации ")</f>
        <v>Частота дискретизации </v>
      </c>
      <c r="D30" s="1">
        <f>IFERROR(__xludf.DUMMYFUNCTION("""COMPUTED_VALUE"""),129.0)</f>
        <v>129</v>
      </c>
      <c r="E30" s="1"/>
      <c r="F30" s="1"/>
      <c r="G30" s="1" t="str">
        <f>IFERROR(__xludf.DUMMYFUNCTION("""COMPUTED_VALUE"""),"Разделение строки/строк на отдельные элементы")</f>
        <v>Разделение строки/строк на отдельные элементы</v>
      </c>
      <c r="H30" s="1">
        <f>IFERROR(__xludf.DUMMYFUNCTION("""COMPUTED_VALUE"""),329.0)</f>
        <v>329</v>
      </c>
      <c r="I30" s="1"/>
      <c r="J30" s="1"/>
      <c r="K30" s="1"/>
      <c r="L30" s="1"/>
      <c r="M30" s="1" t="str">
        <f>IFERROR(__xludf.DUMMYFUNCTION("""COMPUTED_VALUE"""),"Дополнение множеств")</f>
        <v>Дополнение множеств</v>
      </c>
      <c r="N30" s="1">
        <f>IFERROR(__xludf.DUMMYFUNCTION("""COMPUTED_VALUE"""),629.0)</f>
        <v>629</v>
      </c>
      <c r="O30" s="1"/>
      <c r="P30" s="1"/>
      <c r="Q30" s="1"/>
      <c r="R30" s="1"/>
      <c r="S30" s="1" t="str">
        <f>IFERROR(__xludf.DUMMYFUNCTION("""COMPUTED_VALUE"""),"Объем фигуры ")</f>
        <v>Объем фигуры 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IFERROR(__xludf.DUMMYFUNCTION("""COMPUTED_VALUE"""),"Знание основных законов алгебры логики")</f>
        <v>Знание основных законов алгебры логики</v>
      </c>
      <c r="B31" s="1">
        <f>IFERROR(__xludf.DUMMYFUNCTION("""COMPUTED_VALUE"""),30.0)</f>
        <v>30</v>
      </c>
      <c r="C31" s="1" t="str">
        <f>IFERROR(__xludf.DUMMYFUNCTION("""COMPUTED_VALUE"""),"Содержательный подход ")</f>
        <v>Содержательный подход </v>
      </c>
      <c r="D31" s="1">
        <f>IFERROR(__xludf.DUMMYFUNCTION("""COMPUTED_VALUE"""),130.0)</f>
        <v>130</v>
      </c>
      <c r="E31" s="1"/>
      <c r="F31" s="1"/>
      <c r="G31" s="1" t="str">
        <f>IFERROR(__xludf.DUMMYFUNCTION("""COMPUTED_VALUE"""),"Соединение элементов массива/множества в строку")</f>
        <v>Соединение элементов массива/множества в строку</v>
      </c>
      <c r="H31" s="1">
        <f>IFERROR(__xludf.DUMMYFUNCTION("""COMPUTED_VALUE"""),330.0)</f>
        <v>330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 t="str">
        <f>IFERROR(__xludf.DUMMYFUNCTION("""COMPUTED_VALUE"""),"Диапазон ")</f>
        <v>Диапазон 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IFERROR(__xludf.DUMMYFUNCTION("""COMPUTED_VALUE"""),"Умение построить таблицу истинности логического выражения  ")</f>
        <v>Умение построить таблицу истинности логического выражения  </v>
      </c>
      <c r="B32" s="1">
        <f>IFERROR(__xludf.DUMMYFUNCTION("""COMPUTED_VALUE"""),31.0)</f>
        <v>31</v>
      </c>
      <c r="C32" s="1" t="str">
        <f>IFERROR(__xludf.DUMMYFUNCTION("""COMPUTED_VALUE"""),"Растровые изображения")</f>
        <v>Растровые изображения</v>
      </c>
      <c r="D32" s="1">
        <f>IFERROR(__xludf.DUMMYFUNCTION("""COMPUTED_VALUE"""),131.0)</f>
        <v>131</v>
      </c>
      <c r="E32" s="1"/>
      <c r="F32" s="1"/>
      <c r="G32" s="1" t="str">
        <f>IFERROR(__xludf.DUMMYFUNCTION("""COMPUTED_VALUE"""),"Поиск индекса элемента строки/массива")</f>
        <v>Поиск индекса элемента строки/массива</v>
      </c>
      <c r="H32" s="1">
        <f>IFERROR(__xludf.DUMMYFUNCTION("""COMPUTED_VALUE"""),331.0)</f>
        <v>331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 t="str">
        <f>IFERROR(__xludf.DUMMYFUNCTION("""COMPUTED_VALUE"""),"Копирование таблицы ")</f>
        <v>Копирование таблицы 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IFERROR(__xludf.DUMMYFUNCTION("""COMPUTED_VALUE"""),"Умение читать и анализировать граф/таблицу")</f>
        <v>Умение читать и анализировать граф/таблицу</v>
      </c>
      <c r="B33" s="1">
        <f>IFERROR(__xludf.DUMMYFUNCTION("""COMPUTED_VALUE"""),32.0)</f>
        <v>32</v>
      </c>
      <c r="C33" s="1" t="str">
        <f>IFERROR(__xludf.DUMMYFUNCTION("""COMPUTED_VALUE"""),"Путь файла/адрес файла в сети")</f>
        <v>Путь файла/адрес файла в сети</v>
      </c>
      <c r="D33" s="1">
        <f>IFERROR(__xludf.DUMMYFUNCTION("""COMPUTED_VALUE"""),132.0)</f>
        <v>132</v>
      </c>
      <c r="E33" s="1"/>
      <c r="F33" s="1"/>
      <c r="G33" s="1" t="str">
        <f>IFERROR(__xludf.DUMMYFUNCTION("""COMPUTED_VALUE"""),"Поиск элемента строки/массива")</f>
        <v>Поиск элемента строки/массива</v>
      </c>
      <c r="H33" s="1">
        <f>IFERROR(__xludf.DUMMYFUNCTION("""COMPUTED_VALUE"""),332.0)</f>
        <v>332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 t="str">
        <f>IFERROR(__xludf.DUMMYFUNCTION("""COMPUTED_VALUE"""),"Копирование формулы из ячейки")</f>
        <v>Копирование формулы из ячейки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IFERROR(__xludf.DUMMYFUNCTION("""COMPUTED_VALUE"""),"Умение построить круги Эйлера")</f>
        <v>Умение построить круги Эйлера</v>
      </c>
      <c r="B34" s="1">
        <f>IFERROR(__xludf.DUMMYFUNCTION("""COMPUTED_VALUE"""),33.0)</f>
        <v>33</v>
      </c>
      <c r="C34" s="1" t="str">
        <f>IFERROR(__xludf.DUMMYFUNCTION("""COMPUTED_VALUE"""),"Файл ")</f>
        <v>Файл </v>
      </c>
      <c r="D34" s="1">
        <f>IFERROR(__xludf.DUMMYFUNCTION("""COMPUTED_VALUE"""),133.0)</f>
        <v>133</v>
      </c>
      <c r="E34" s="1"/>
      <c r="F34" s="1"/>
      <c r="G34" s="1" t="str">
        <f>IFERROR(__xludf.DUMMYFUNCTION("""COMPUTED_VALUE"""),"Проверка, является ли символ цифрой")</f>
        <v>Проверка, является ли символ цифрой</v>
      </c>
      <c r="H34" s="1">
        <f>IFERROR(__xludf.DUMMYFUNCTION("""COMPUTED_VALUE"""),333.0)</f>
        <v>333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 t="str">
        <f>IFERROR(__xludf.DUMMYFUNCTION("""COMPUTED_VALUE"""),"Расстягивание формулы на множество ячеек")</f>
        <v>Расстягивание формулы на множество ячеек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IFERROR(__xludf.DUMMYFUNCTION("""COMPUTED_VALUE"""),"Умение считать факториал ")</f>
        <v>Умение считать факториал </v>
      </c>
      <c r="B35" s="1">
        <f>IFERROR(__xludf.DUMMYFUNCTION("""COMPUTED_VALUE"""),34.0)</f>
        <v>34</v>
      </c>
      <c r="C35" s="1" t="str">
        <f>IFERROR(__xludf.DUMMYFUNCTION("""COMPUTED_VALUE"""),"Сервер")</f>
        <v>Сервер</v>
      </c>
      <c r="D35" s="1">
        <f>IFERROR(__xludf.DUMMYFUNCTION("""COMPUTED_VALUE"""),134.0)</f>
        <v>134</v>
      </c>
      <c r="E35" s="1"/>
      <c r="F35" s="1"/>
      <c r="G35" s="1" t="str">
        <f>IFERROR(__xludf.DUMMYFUNCTION("""COMPUTED_VALUE"""),"Проверка, является ли символ буквой")</f>
        <v>Проверка, является ли символ буквой</v>
      </c>
      <c r="H35" s="1">
        <f>IFERROR(__xludf.DUMMYFUNCTION("""COMPUTED_VALUE"""),334.0)</f>
        <v>334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 t="str">
        <f>IFERROR(__xludf.DUMMYFUNCTION("""COMPUTED_VALUE"""),"Формы слова в русском языке")</f>
        <v>Формы слова в русском языке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IFERROR(__xludf.DUMMYFUNCTION("""COMPUTED_VALUE"""),"Умение считать количество пар чисел ")</f>
        <v>Умение считать количество пар чисел </v>
      </c>
      <c r="B36" s="1">
        <f>IFERROR(__xludf.DUMMYFUNCTION("""COMPUTED_VALUE"""),35.0)</f>
        <v>35</v>
      </c>
      <c r="C36" s="1" t="str">
        <f>IFERROR(__xludf.DUMMYFUNCTION("""COMPUTED_VALUE"""),"Протокол ")</f>
        <v>Протокол </v>
      </c>
      <c r="D36" s="1">
        <f>IFERROR(__xludf.DUMMYFUNCTION("""COMPUTED_VALUE"""),135.0)</f>
        <v>135</v>
      </c>
      <c r="E36" s="1"/>
      <c r="F36" s="1"/>
      <c r="G36" s="1" t="str">
        <f>IFERROR(__xludf.DUMMYFUNCTION("""COMPUTED_VALUE"""),"Создание массива из существующих элементов строки/строк")</f>
        <v>Создание массива из существующих элементов строки/строк</v>
      </c>
      <c r="H36" s="1">
        <f>IFERROR(__xludf.DUMMYFUNCTION("""COMPUTED_VALUE"""),335.0)</f>
        <v>335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 t="str">
        <f>IFERROR(__xludf.DUMMYFUNCTION("""COMPUTED_VALUE"""),"Основа слова в русском языке")</f>
        <v>Основа слова в русском языке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IFERROR(__xludf.DUMMYFUNCTION("""COMPUTED_VALUE"""),"Умение настраивать фильтрацию в редакторе таблиц ")</f>
        <v>Умение настраивать фильтрацию в редакторе таблиц </v>
      </c>
      <c r="B37" s="1">
        <f>IFERROR(__xludf.DUMMYFUNCTION("""COMPUTED_VALUE"""),36.0)</f>
        <v>36</v>
      </c>
      <c r="C37" s="1" t="str">
        <f>IFERROR(__xludf.DUMMYFUNCTION("""COMPUTED_VALUE"""),"Работа с таблицей")</f>
        <v>Работа с таблицей</v>
      </c>
      <c r="D37" s="1">
        <f>IFERROR(__xludf.DUMMYFUNCTION("""COMPUTED_VALUE"""),136.0)</f>
        <v>136</v>
      </c>
      <c r="E37" s="1"/>
      <c r="F37" s="1"/>
      <c r="G37" s="1" t="str">
        <f>IFERROR(__xludf.DUMMYFUNCTION("""COMPUTED_VALUE"""),"Добавление элемента в массив ")</f>
        <v>Добавление элемента в массив </v>
      </c>
      <c r="H37" s="1">
        <f>IFERROR(__xludf.DUMMYFUNCTION("""COMPUTED_VALUE"""),336.0)</f>
        <v>336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 t="str">
        <f>IFERROR(__xludf.DUMMYFUNCTION("""COMPUTED_VALUE"""),"Морфемный разбор слова")</f>
        <v>Морфемный разбор слова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IFERROR(__xludf.DUMMYFUNCTION("""COMPUTED_VALUE"""),"Умение измененять шрифт и текст в тектовом редакторе ")</f>
        <v>Умение измененять шрифт и текст в тектовом редакторе </v>
      </c>
      <c r="B38" s="1">
        <f>IFERROR(__xludf.DUMMYFUNCTION("""COMPUTED_VALUE"""),37.0)</f>
        <v>37</v>
      </c>
      <c r="C38" s="1" t="str">
        <f>IFERROR(__xludf.DUMMYFUNCTION("""COMPUTED_VALUE"""),"Символ")</f>
        <v>Символ</v>
      </c>
      <c r="D38" s="1">
        <f>IFERROR(__xludf.DUMMYFUNCTION("""COMPUTED_VALUE"""),137.0)</f>
        <v>137</v>
      </c>
      <c r="E38" s="1"/>
      <c r="F38" s="1"/>
      <c r="G38" s="1" t="str">
        <f>IFERROR(__xludf.DUMMYFUNCTION("""COMPUTED_VALUE"""),"Методы удаления элемента из списка")</f>
        <v>Методы удаления элемента из списка</v>
      </c>
      <c r="H38" s="1">
        <f>IFERROR(__xludf.DUMMYFUNCTION("""COMPUTED_VALUE"""),337.0)</f>
        <v>337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 t="str">
        <f>IFERROR(__xludf.DUMMYFUNCTION("""COMPUTED_VALUE"""),"Функция ОСТАТ")</f>
        <v>Функция ОСТАТ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IFERROR(__xludf.DUMMYFUNCTION("""COMPUTED_VALUE"""),"Умение находить нужные функции в меню редактора ")</f>
        <v>Умение находить нужные функции в меню редактора </v>
      </c>
      <c r="B39" s="1">
        <f>IFERROR(__xludf.DUMMYFUNCTION("""COMPUTED_VALUE"""),38.0)</f>
        <v>38</v>
      </c>
      <c r="C39" s="1" t="str">
        <f>IFERROR(__xludf.DUMMYFUNCTION("""COMPUTED_VALUE"""),"Однозначное декодирование")</f>
        <v>Однозначное декодирование</v>
      </c>
      <c r="D39" s="1">
        <f>IFERROR(__xludf.DUMMYFUNCTION("""COMPUTED_VALUE"""),138.0)</f>
        <v>138</v>
      </c>
      <c r="E39" s="1"/>
      <c r="F39" s="1"/>
      <c r="G39" s="1" t="str">
        <f>IFERROR(__xludf.DUMMYFUNCTION("""COMPUTED_VALUE"""),"Копирование элемента/массива")</f>
        <v>Копирование элемента/массива</v>
      </c>
      <c r="H39" s="1">
        <f>IFERROR(__xludf.DUMMYFUNCTION("""COMPUTED_VALUE"""),338.0)</f>
        <v>338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 t="str">
        <f>IFERROR(__xludf.DUMMYFUNCTION("""COMPUTED_VALUE"""),"Построение круговой диаграммы ")</f>
        <v>Построение круговой диаграммы 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IFERROR(__xludf.DUMMYFUNCTION("""COMPUTED_VALUE"""),"Понимание логических выражений ")</f>
        <v>Понимание логических выражений </v>
      </c>
      <c r="B40" s="1">
        <f>IFERROR(__xludf.DUMMYFUNCTION("""COMPUTED_VALUE"""),39.0)</f>
        <v>39</v>
      </c>
      <c r="C40" s="1" t="str">
        <f>IFERROR(__xludf.DUMMYFUNCTION("""COMPUTED_VALUE"""),"Двоичный код ")</f>
        <v>Двоичный код </v>
      </c>
      <c r="D40" s="1">
        <f>IFERROR(__xludf.DUMMYFUNCTION("""COMPUTED_VALUE"""),139.0)</f>
        <v>139</v>
      </c>
      <c r="E40" s="1"/>
      <c r="F40" s="1"/>
      <c r="G40" s="1" t="str">
        <f>IFERROR(__xludf.DUMMYFUNCTION("""COMPUTED_VALUE"""),"Формула количества пар")</f>
        <v>Формула количества пар</v>
      </c>
      <c r="H40" s="1">
        <f>IFERROR(__xludf.DUMMYFUNCTION("""COMPUTED_VALUE"""),339.0)</f>
        <v>339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 t="str">
        <f>IFERROR(__xludf.DUMMYFUNCTION("""COMPUTED_VALUE"""),"Расширение файла")</f>
        <v>Расширение файла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считать НОК и НОД")</f>
        <v>Умение считать НОК и НОД</v>
      </c>
      <c r="B41" s="1">
        <f>IFERROR(__xludf.DUMMYFUNCTION("""COMPUTED_VALUE"""),40.0)</f>
        <v>40</v>
      </c>
      <c r="C41" s="1" t="str">
        <f>IFERROR(__xludf.DUMMYFUNCTION("""COMPUTED_VALUE"""),"Кодовое слово ")</f>
        <v>Кодовое слово </v>
      </c>
      <c r="D41" s="1">
        <f>IFERROR(__xludf.DUMMYFUNCTION("""COMPUTED_VALUE"""),140.0)</f>
        <v>140</v>
      </c>
      <c r="E41" s="1"/>
      <c r="F41" s="1"/>
      <c r="G41" s="1" t="str">
        <f>IFERROR(__xludf.DUMMYFUNCTION("""COMPUTED_VALUE"""),"Нетривиальные делители ")</f>
        <v>Нетривиальные делители </v>
      </c>
      <c r="H41" s="1">
        <f>IFERROR(__xludf.DUMMYFUNCTION("""COMPUTED_VALUE"""),340.0)</f>
        <v>340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 t="str">
        <f>IFERROR(__xludf.DUMMYFUNCTION("""COMPUTED_VALUE"""),"Поиск файлов с определенным расширением")</f>
        <v>Поиск файлов с определенным расширением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IFERROR(__xludf.DUMMYFUNCTION("""COMPUTED_VALUE"""),"Умение построить таблицу/дерево ходов игры ")</f>
        <v>Умение построить таблицу/дерево ходов игры </v>
      </c>
      <c r="B42" s="1">
        <f>IFERROR(__xludf.DUMMYFUNCTION("""COMPUTED_VALUE"""),41.0)</f>
        <v>41</v>
      </c>
      <c r="C42" s="1" t="str">
        <f>IFERROR(__xludf.DUMMYFUNCTION("""COMPUTED_VALUE"""),"Посимвольное кодирование")</f>
        <v>Посимвольное кодирование</v>
      </c>
      <c r="D42" s="1">
        <f>IFERROR(__xludf.DUMMYFUNCTION("""COMPUTED_VALUE"""),141.0)</f>
        <v>141</v>
      </c>
      <c r="E42" s="1"/>
      <c r="F42" s="1"/>
      <c r="G42" s="1" t="str">
        <f>IFERROR(__xludf.DUMMYFUNCTION("""COMPUTED_VALUE"""),"Простые числа")</f>
        <v>Простые числа</v>
      </c>
      <c r="H42" s="1">
        <f>IFERROR(__xludf.DUMMYFUNCTION("""COMPUTED_VALUE"""),341.0)</f>
        <v>341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 t="str">
        <f>IFERROR(__xludf.DUMMYFUNCTION("""COMPUTED_VALUE"""),"""*"",""?"" в поиске файлов")</f>
        <v>"*","?" в поиске файлов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IFERROR(__xludf.DUMMYFUNCTION("""COMPUTED_VALUE"""),"Умение писать простой код на ЯП  ")</f>
        <v>Умение писать простой код на ЯП  </v>
      </c>
      <c r="B43" s="1">
        <f>IFERROR(__xludf.DUMMYFUNCTION("""COMPUTED_VALUE"""),42.0)</f>
        <v>42</v>
      </c>
      <c r="C43" s="1" t="str">
        <f>IFERROR(__xludf.DUMMYFUNCTION("""COMPUTED_VALUE"""),"Равномерный код и неравномерный код")</f>
        <v>Равномерный код и неравномерный код</v>
      </c>
      <c r="D43" s="1">
        <f>IFERROR(__xludf.DUMMYFUNCTION("""COMPUTED_VALUE"""),142.0)</f>
        <v>142</v>
      </c>
      <c r="E43" s="1"/>
      <c r="F43" s="1"/>
      <c r="G43" s="1" t="str">
        <f>IFERROR(__xludf.DUMMYFUNCTION("""COMPUTED_VALUE"""),"Модуль itertools")</f>
        <v>Модуль itertools</v>
      </c>
      <c r="H43" s="1">
        <f>IFERROR(__xludf.DUMMYFUNCTION("""COMPUTED_VALUE"""),342.0)</f>
        <v>342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 t="str">
        <f>IFERROR(__xludf.DUMMYFUNCTION("""COMPUTED_VALUE"""),"Создание файла электронной таблицы")</f>
        <v>Создание файла электронной таблицы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использовать базовые функции и методы в языке программирования ")</f>
        <v>Умение использовать базовые функции и методы в языке программирования </v>
      </c>
      <c r="B44" s="1">
        <f>IFERROR(__xludf.DUMMYFUNCTION("""COMPUTED_VALUE"""),43.0)</f>
        <v>43</v>
      </c>
      <c r="C44" s="1" t="str">
        <f>IFERROR(__xludf.DUMMYFUNCTION("""COMPUTED_VALUE"""),"Адрес IP")</f>
        <v>Адрес IP</v>
      </c>
      <c r="D44" s="1">
        <f>IFERROR(__xludf.DUMMYFUNCTION("""COMPUTED_VALUE"""),143.0)</f>
        <v>143</v>
      </c>
      <c r="E44" s="1"/>
      <c r="F44" s="1"/>
      <c r="G44" s="1" t="str">
        <f>IFERROR(__xludf.DUMMYFUNCTION("""COMPUTED_VALUE"""),"Сортировка списка")</f>
        <v>Сортировка списка</v>
      </c>
      <c r="H44" s="1">
        <f>IFERROR(__xludf.DUMMYFUNCTION("""COMPUTED_VALUE"""),343.0)</f>
        <v>343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 t="str">
        <f>IFERROR(__xludf.DUMMYFUNCTION("""COMPUTED_VALUE"""),"Создание презентации")</f>
        <v>Создание презентации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добавлять модули в коде программы ")</f>
        <v>Умение добавлять модули в коде программы </v>
      </c>
      <c r="B45" s="1">
        <f>IFERROR(__xludf.DUMMYFUNCTION("""COMPUTED_VALUE"""),44.0)</f>
        <v>44</v>
      </c>
      <c r="C45" s="1" t="str">
        <f>IFERROR(__xludf.DUMMYFUNCTION("""COMPUTED_VALUE"""),"Глобальная сеть")</f>
        <v>Глобальная сеть</v>
      </c>
      <c r="D45" s="1">
        <f>IFERROR(__xludf.DUMMYFUNCTION("""COMPUTED_VALUE"""),144.0)</f>
        <v>144</v>
      </c>
      <c r="E45" s="1"/>
      <c r="F45" s="1"/>
      <c r="G45" s="1" t="str">
        <f>IFERROR(__xludf.DUMMYFUNCTION("""COMPUTED_VALUE"""),"Кратность числа ")</f>
        <v>Кратность числа </v>
      </c>
      <c r="H45" s="1">
        <f>IFERROR(__xludf.DUMMYFUNCTION("""COMPUTED_VALUE"""),344.0)</f>
        <v>344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 t="str">
        <f>IFERROR(__xludf.DUMMYFUNCTION("""COMPUTED_VALUE"""),"Параметры слайда")</f>
        <v>Параметры слайда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IFERROR(__xludf.DUMMYFUNCTION("""COMPUTED_VALUE"""),"Умение читать условие задачи ")</f>
        <v>Умение читать условие задачи </v>
      </c>
      <c r="B46" s="1">
        <f>IFERROR(__xludf.DUMMYFUNCTION("""COMPUTED_VALUE"""),45.0)</f>
        <v>45</v>
      </c>
      <c r="C46" s="1" t="str">
        <f>IFERROR(__xludf.DUMMYFUNCTION("""COMPUTED_VALUE"""),"Локальная сеть")</f>
        <v>Локальная сеть</v>
      </c>
      <c r="D46" s="1">
        <f>IFERROR(__xludf.DUMMYFUNCTION("""COMPUTED_VALUE"""),145.0)</f>
        <v>145</v>
      </c>
      <c r="E46" s="1"/>
      <c r="F46" s="1"/>
      <c r="G46" s="1" t="str">
        <f>IFERROR(__xludf.DUMMYFUNCTION("""COMPUTED_VALUE"""),"Остаток от деления ")</f>
        <v>Остаток от деления </v>
      </c>
      <c r="H46" s="1">
        <f>IFERROR(__xludf.DUMMYFUNCTION("""COMPUTED_VALUE"""),345.0)</f>
        <v>345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 t="str">
        <f>IFERROR(__xludf.DUMMYFUNCTION("""COMPUTED_VALUE"""),"Альбомная/книжная ориентации")</f>
        <v>Альбомная/книжная ориентации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IFERROR(__xludf.DUMMYFUNCTION("""COMPUTED_VALUE"""),"Умение обрабатывать файл в среде программирования ")</f>
        <v>Умение обрабатывать файл в среде программирования </v>
      </c>
      <c r="B47" s="1">
        <f>IFERROR(__xludf.DUMMYFUNCTION("""COMPUTED_VALUE"""),46.0)</f>
        <v>46</v>
      </c>
      <c r="C47" s="1"/>
      <c r="D47" s="1"/>
      <c r="E47" s="1"/>
      <c r="F47" s="1"/>
      <c r="G47" s="1" t="str">
        <f>IFERROR(__xludf.DUMMYFUNCTION("""COMPUTED_VALUE"""),"Модуль числа ")</f>
        <v>Модуль числа </v>
      </c>
      <c r="H47" s="1">
        <f>IFERROR(__xludf.DUMMYFUNCTION("""COMPUTED_VALUE"""),346.0)</f>
        <v>346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 t="str">
        <f>IFERROR(__xludf.DUMMYFUNCTION("""COMPUTED_VALUE"""),"Заголовок слайда")</f>
        <v>Заголовок слайда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IFERROR(__xludf.DUMMYFUNCTION("""COMPUTED_VALUE"""),"Перевод с помощью таблиц тетрад/триад ")</f>
        <v>Перевод с помощью таблиц тетрад/триад </v>
      </c>
      <c r="B48" s="1">
        <f>IFERROR(__xludf.DUMMYFUNCTION("""COMPUTED_VALUE"""),47.0)</f>
        <v>47</v>
      </c>
      <c r="C48" s="1"/>
      <c r="D48" s="1"/>
      <c r="E48" s="1"/>
      <c r="F48" s="1"/>
      <c r="G48" s="1" t="str">
        <f>IFERROR(__xludf.DUMMYFUNCTION("""COMPUTED_VALUE"""),"Инициализация переменных")</f>
        <v>Инициализация переменных</v>
      </c>
      <c r="H48" s="1">
        <f>IFERROR(__xludf.DUMMYFUNCTION("""COMPUTED_VALUE"""),347.0)</f>
        <v>347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 t="str">
        <f>IFERROR(__xludf.DUMMYFUNCTION("""COMPUTED_VALUE"""),"Титульный слайд")</f>
        <v>Титульный слайд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IFERROR(__xludf.DUMMYFUNCTION("""COMPUTED_VALUE"""),"Умение находить проигрышные/выигрышные позиции")</f>
        <v>Умение находить проигрышные/выигрышные позиции</v>
      </c>
      <c r="B49" s="1">
        <f>IFERROR(__xludf.DUMMYFUNCTION("""COMPUTED_VALUE"""),48.0)</f>
        <v>48</v>
      </c>
      <c r="C49" s="1"/>
      <c r="D49" s="1"/>
      <c r="E49" s="1"/>
      <c r="F49" s="1"/>
      <c r="G49" s="1" t="str">
        <f>IFERROR(__xludf.DUMMYFUNCTION("""COMPUTED_VALUE"""),"Четность чисел ")</f>
        <v>Четность чисел </v>
      </c>
      <c r="H49" s="1">
        <f>IFERROR(__xludf.DUMMYFUNCTION("""COMPUTED_VALUE"""),348.0)</f>
        <v>348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 t="str">
        <f>IFERROR(__xludf.DUMMYFUNCTION("""COMPUTED_VALUE"""),"Типы шрифта и его форматирование")</f>
        <v>Типы шрифта и его форматирование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IFERROR(__xludf.DUMMYFUNCTION("""COMPUTED_VALUE"""),"Перевод единиц измерения информации")</f>
        <v>Перевод единиц измерения информации</v>
      </c>
      <c r="B50" s="1">
        <f>IFERROR(__xludf.DUMMYFUNCTION("""COMPUTED_VALUE"""),49.0)</f>
        <v>49</v>
      </c>
      <c r="C50" s="1"/>
      <c r="D50" s="1"/>
      <c r="E50" s="1"/>
      <c r="F50" s="1"/>
      <c r="G50" s="1" t="str">
        <f>IFERROR(__xludf.DUMMYFUNCTION("""COMPUTED_VALUE"""),"Интервалы чисел ")</f>
        <v>Интервалы чисел </v>
      </c>
      <c r="H50" s="1">
        <f>IFERROR(__xludf.DUMMYFUNCTION("""COMPUTED_VALUE"""),349.0)</f>
        <v>349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 t="str">
        <f>IFERROR(__xludf.DUMMYFUNCTION("""COMPUTED_VALUE"""),"Размер шрифта ")</f>
        <v>Размер шрифта 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считать арифметическую прогрессию")</f>
        <v>Умение считать арифметическую прогрессию</v>
      </c>
      <c r="B51" s="1">
        <f>IFERROR(__xludf.DUMMYFUNCTION("""COMPUTED_VALUE"""),50.0)</f>
        <v>50</v>
      </c>
      <c r="C51" s="1"/>
      <c r="D51" s="1"/>
      <c r="E51" s="1"/>
      <c r="F51" s="1"/>
      <c r="G51" s="1" t="str">
        <f>IFERROR(__xludf.DUMMYFUNCTION("""COMPUTED_VALUE"""),"Операции на списками/массивами")</f>
        <v>Операции на списками/массивами</v>
      </c>
      <c r="H51" s="1">
        <f>IFERROR(__xludf.DUMMYFUNCTION("""COMPUTED_VALUE"""),350.0)</f>
        <v>350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 t="str">
        <f>IFERROR(__xludf.DUMMYFUNCTION("""COMPUTED_VALUE"""),"Добавление изображения на слайд")</f>
        <v>Добавление изображения на слайд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IFERROR(__xludf.DUMMYFUNCTION("""COMPUTED_VALUE"""),"Умение решать пропорции ")</f>
        <v>Умение решать пропорции </v>
      </c>
      <c r="B52" s="1">
        <f>IFERROR(__xludf.DUMMYFUNCTION("""COMPUTED_VALUE"""),51.0)</f>
        <v>51</v>
      </c>
      <c r="C52" s="1"/>
      <c r="D52" s="1"/>
      <c r="E52" s="1"/>
      <c r="F52" s="1"/>
      <c r="G52" s="1" t="str">
        <f>IFERROR(__xludf.DUMMYFUNCTION("""COMPUTED_VALUE"""),"Натуральные числа")</f>
        <v>Натуральные числа</v>
      </c>
      <c r="H52" s="1">
        <f>IFERROR(__xludf.DUMMYFUNCTION("""COMPUTED_VALUE"""),351.0)</f>
        <v>351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 t="str">
        <f>IFERROR(__xludf.DUMMYFUNCTION("""COMPUTED_VALUE"""),"Добавление блока текста на слайд")</f>
        <v>Добавление блока текста на слайд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 t="str">
        <f>IFERROR(__xludf.DUMMYFUNCTION("""COMPUTED_VALUE"""),"Вещественные числа")</f>
        <v>Вещественные числа</v>
      </c>
      <c r="H53" s="1">
        <f>IFERROR(__xludf.DUMMYFUNCTION("""COMPUTED_VALUE"""),352.0)</f>
        <v>352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 t="str">
        <f>IFERROR(__xludf.DUMMYFUNCTION("""COMPUTED_VALUE"""),"Начертание шрифта")</f>
        <v>Начертание шрифта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 t="str">
        <f>IFERROR(__xludf.DUMMYFUNCTION("""COMPUTED_VALUE"""),"Целые числа")</f>
        <v>Целые числа</v>
      </c>
      <c r="H54" s="1">
        <f>IFERROR(__xludf.DUMMYFUNCTION("""COMPUTED_VALUE"""),353.0)</f>
        <v>353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 t="str">
        <f>IFERROR(__xludf.DUMMYFUNCTION("""COMPUTED_VALUE"""),"Абзацный отступ ")</f>
        <v>Абзацный отступ 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 t="str">
        <f>IFERROR(__xludf.DUMMYFUNCTION("""COMPUTED_VALUE"""),"Положительные числа")</f>
        <v>Положительные числа</v>
      </c>
      <c r="H55" s="1">
        <f>IFERROR(__xludf.DUMMYFUNCTION("""COMPUTED_VALUE"""),354.0)</f>
        <v>354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 t="str">
        <f>IFERROR(__xludf.DUMMYFUNCTION("""COMPUTED_VALUE"""),"Межстрочный интервал ")</f>
        <v>Межстрочный интервал 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 t="str">
        <f>IFERROR(__xludf.DUMMYFUNCTION("""COMPUTED_VALUE"""),"Отрицательные числа ")</f>
        <v>Отрицательные числа </v>
      </c>
      <c r="H56" s="1">
        <f>IFERROR(__xludf.DUMMYFUNCTION("""COMPUTED_VALUE"""),355.0)</f>
        <v>355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 t="str">
        <f>IFERROR(__xludf.DUMMYFUNCTION("""COMPUTED_VALUE"""),"Выравнивание текста ")</f>
        <v>Выравнивание текста 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 t="str">
        <f>IFERROR(__xludf.DUMMYFUNCTION("""COMPUTED_VALUE"""),"Неотрицательные числа ")</f>
        <v>Неотрицательные числа </v>
      </c>
      <c r="H57" s="1">
        <f>IFERROR(__xludf.DUMMYFUNCTION("""COMPUTED_VALUE"""),356.0)</f>
        <v>356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 t="str">
        <f>IFERROR(__xludf.DUMMYFUNCTION("""COMPUTED_VALUE"""),"Добавление таблицы в текстовый документ ")</f>
        <v>Добавление таблицы в текстовый документ 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 t="str">
        <f>IFERROR(__xludf.DUMMYFUNCTION("""COMPUTED_VALUE"""),"Неположительные числа")</f>
        <v>Неположительные числа</v>
      </c>
      <c r="H58" s="1">
        <f>IFERROR(__xludf.DUMMYFUNCTION("""COMPUTED_VALUE"""),357.0)</f>
        <v>357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 t="str">
        <f>IFERROR(__xludf.DUMMYFUNCTION("""COMPUTED_VALUE"""),"Ширина текста ")</f>
        <v>Ширина текста 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 t="str">
        <f>IFERROR(__xludf.DUMMYFUNCTION("""COMPUTED_VALUE"""),"Ввод значений с консоли")</f>
        <v>Ввод значений с консоли</v>
      </c>
      <c r="H59" s="1">
        <f>IFERROR(__xludf.DUMMYFUNCTION("""COMPUTED_VALUE"""),358.0)</f>
        <v>358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 t="str">
        <f>IFERROR(__xludf.DUMMYFUNCTION("""COMPUTED_VALUE"""),"Ширина таблицы")</f>
        <v>Ширина таблицы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 t="str">
        <f>IFERROR(__xludf.DUMMYFUNCTION("""COMPUTED_VALUE"""),"Вывод значений на консоль")</f>
        <v>Вывод значений на консоль</v>
      </c>
      <c r="H60" s="1">
        <f>IFERROR(__xludf.DUMMYFUNCTION("""COMPUTED_VALUE"""),359.0)</f>
        <v>359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 t="str">
        <f>IFERROR(__xludf.DUMMYFUNCTION("""COMPUTED_VALUE"""),"Столбец")</f>
        <v>Столбец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 t="str">
        <f>IFERROR(__xludf.DUMMYFUNCTION("""COMPUTED_VALUE"""),"Округление переменных по математическим правилам")</f>
        <v>Округление переменных по математическим правилам</v>
      </c>
      <c r="H61" s="1">
        <f>IFERROR(__xludf.DUMMYFUNCTION("""COMPUTED_VALUE"""),360.0)</f>
        <v>360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 t="str">
        <f>IFERROR(__xludf.DUMMYFUNCTION("""COMPUTED_VALUE"""),"Строка")</f>
        <v>Строка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 t="str">
        <f>IFERROR(__xludf.DUMMYFUNCTION("""COMPUTED_VALUE"""),"Преобразование строки символов числа в число")</f>
        <v>Преобразование строки символов числа в число</v>
      </c>
      <c r="H62" s="1">
        <f>IFERROR(__xludf.DUMMYFUNCTION("""COMPUTED_VALUE"""),361.0)</f>
        <v>361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 t="str">
        <f>IFERROR(__xludf.DUMMYFUNCTION("""COMPUTED_VALUE"""),"Надстрочный индекс")</f>
        <v>Надстрочный индекс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 t="str">
        <f>IFERROR(__xludf.DUMMYFUNCTION("""COMPUTED_VALUE"""),"Преобразование числа в строку символов")</f>
        <v>Преобразование числа в строку символов</v>
      </c>
      <c r="H63" s="1">
        <f>IFERROR(__xludf.DUMMYFUNCTION("""COMPUTED_VALUE"""),362.0)</f>
        <v>362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 t="str">
        <f>IFERROR(__xludf.DUMMYFUNCTION("""COMPUTED_VALUE"""),"Нижний индекс")</f>
        <v>Нижний индекс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 t="str">
        <f>IFERROR(__xludf.DUMMYFUNCTION("""COMPUTED_VALUE"""),"Округление в меньшую сторону")</f>
        <v>Округление в меньшую сторону</v>
      </c>
      <c r="H64" s="1">
        <f>IFERROR(__xludf.DUMMYFUNCTION("""COMPUTED_VALUE"""),363.0)</f>
        <v>363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 t="str">
        <f>IFERROR(__xludf.DUMMYFUNCTION("""COMPUTED_VALUE"""),"Добавление специального символа/формулы")</f>
        <v>Добавление специального символа/формулы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 t="str">
        <f>IFERROR(__xludf.DUMMYFUNCTION("""COMPUTED_VALUE"""),"Округление в большую сторону")</f>
        <v>Округление в большую сторону</v>
      </c>
      <c r="H65" s="1">
        <f>IFERROR(__xludf.DUMMYFUNCTION("""COMPUTED_VALUE"""),364.0)</f>
        <v>364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 t="str">
        <f>IFERROR(__xludf.DUMMYFUNCTION("""COMPUTED_VALUE"""),"Ячейка таблицы")</f>
        <v>Ячейка таблицы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 t="str">
        <f>IFERROR(__xludf.DUMMYFUNCTION("""COMPUTED_VALUE"""),"Произведение элементов ")</f>
        <v>Произведение элементов </v>
      </c>
      <c r="H66" s="1">
        <f>IFERROR(__xludf.DUMMYFUNCTION("""COMPUTED_VALUE"""),365.0)</f>
        <v>365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 t="str">
        <f>IFERROR(__xludf.DUMMYFUNCTION("""COMPUTED_VALUE"""),"Сноски ")</f>
        <v>Сноски 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 t="str">
        <f>IFERROR(__xludf.DUMMYFUNCTION("""COMPUTED_VALUE"""),"Целая часть от деления ")</f>
        <v>Целая часть от деления </v>
      </c>
      <c r="H67" s="1">
        <f>IFERROR(__xludf.DUMMYFUNCTION("""COMPUTED_VALUE"""),366.0)</f>
        <v>366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 t="str">
        <f>IFERROR(__xludf.DUMMYFUNCTION("""COMPUTED_VALUE"""),"Аннотация ")</f>
        <v>Аннотация 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 t="str">
        <f>IFERROR(__xludf.DUMMYFUNCTION("""COMPUTED_VALUE"""),"Считывание строки из файла ")</f>
        <v>Считывание строки из файла </v>
      </c>
      <c r="H68" s="1">
        <f>IFERROR(__xludf.DUMMYFUNCTION("""COMPUTED_VALUE"""),367.0)</f>
        <v>367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 t="str">
        <f>IFERROR(__xludf.DUMMYFUNCTION("""COMPUTED_VALUE"""),"Наличие товара ")</f>
        <v>Наличие товара 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 t="str">
        <f>IFERROR(__xludf.DUMMYFUNCTION("""COMPUTED_VALUE"""),"Считывание всех строк из файла ")</f>
        <v>Считывание всех строк из файла </v>
      </c>
      <c r="H69" s="1">
        <f>IFERROR(__xludf.DUMMYFUNCTION("""COMPUTED_VALUE"""),368.0)</f>
        <v>368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 t="str">
        <f>IFERROR(__xludf.DUMMYFUNCTION("""COMPUTED_VALUE"""),"База данных")</f>
        <v>База данных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 t="str">
        <f>IFERROR(__xludf.DUMMYFUNCTION("""COMPUTED_VALUE"""),"Остаток от деления у отрицательного числа")</f>
        <v>Остаток от деления у отрицательного числа</v>
      </c>
      <c r="H70" s="1">
        <f>IFERROR(__xludf.DUMMYFUNCTION("""COMPUTED_VALUE"""),369.0)</f>
        <v>369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 t="str">
        <f>IFERROR(__xludf.DUMMYFUNCTION("""COMPUTED_VALUE"""),"Прибыль")</f>
        <v>Прибыль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 t="str">
        <f>IFERROR(__xludf.DUMMYFUNCTION("""COMPUTED_VALUE"""),"Количество итераций цикла")</f>
        <v>Количество итераций цикла</v>
      </c>
      <c r="H71" s="1">
        <f>IFERROR(__xludf.DUMMYFUNCTION("""COMPUTED_VALUE"""),370.0)</f>
        <v>370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 t="str">
        <f>IFERROR(__xludf.DUMMYFUNCTION("""COMPUTED_VALUE"""),"Выручка")</f>
        <v>Выручка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 t="str">
        <f>IFERROR(__xludf.DUMMYFUNCTION("""COMPUTED_VALUE"""),"Возвращение значения функции ")</f>
        <v>Возвращение значения функции </v>
      </c>
      <c r="H72" s="1">
        <f>IFERROR(__xludf.DUMMYFUNCTION("""COMPUTED_VALUE"""),371.0)</f>
        <v>371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 t="str">
        <f>IFERROR(__xludf.DUMMYFUNCTION("""COMPUTED_VALUE"""),"Затраты")</f>
        <v>Затраты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 t="str">
        <f>IFERROR(__xludf.DUMMYFUNCTION("""COMPUTED_VALUE"""),"Последовательность чисел")</f>
        <v>Последовательность чисел</v>
      </c>
      <c r="H73" s="1">
        <f>IFERROR(__xludf.DUMMYFUNCTION("""COMPUTED_VALUE"""),372.0)</f>
        <v>372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 t="str">
        <f>IFERROR(__xludf.DUMMYFUNCTION("""COMPUTED_VALUE"""),"Условие кратности суммы чисел")</f>
        <v>Условие кратности суммы чисел</v>
      </c>
      <c r="H74" s="1">
        <f>IFERROR(__xludf.DUMMYFUNCTION("""COMPUTED_VALUE"""),373.0)</f>
        <v>373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 t="str">
        <f>IFERROR(__xludf.DUMMYFUNCTION("""COMPUTED_VALUE"""),"Условие кратности разности чисел")</f>
        <v>Условие кратности разности чисел</v>
      </c>
      <c r="H75" s="1">
        <f>IFERROR(__xludf.DUMMYFUNCTION("""COMPUTED_VALUE"""),374.0)</f>
        <v>374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 t="str">
        <f>IFERROR(__xludf.DUMMYFUNCTION("""COMPUTED_VALUE"""),"Условие кратности произведения чисел")</f>
        <v>Условие кратности произведения чисел</v>
      </c>
      <c r="H76" s="1">
        <f>IFERROR(__xludf.DUMMYFUNCTION("""COMPUTED_VALUE"""),375.0)</f>
        <v>375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 t="str">
        <f>IFERROR(__xludf.DUMMYFUNCTION("""COMPUTED_VALUE"""),"Алгоритм Евклида ")</f>
        <v>Алгоритм Евклида </v>
      </c>
      <c r="H77" s="1">
        <f>IFERROR(__xludf.DUMMYFUNCTION("""COMPUTED_VALUE"""),376.0)</f>
        <v>376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 t="str">
        <f>IFERROR(__xludf.DUMMYFUNCTION("""COMPUTED_VALUE"""),"НОД")</f>
        <v>НОД</v>
      </c>
      <c r="H78" s="1">
        <f>IFERROR(__xludf.DUMMYFUNCTION("""COMPUTED_VALUE"""),377.0)</f>
        <v>377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 t="str">
        <f>IFERROR(__xludf.DUMMYFUNCTION("""COMPUTED_VALUE"""),"НОК")</f>
        <v>НОК</v>
      </c>
      <c r="H79" s="1">
        <f>IFERROR(__xludf.DUMMYFUNCTION("""COMPUTED_VALUE"""),378.0)</f>
        <v>378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 t="str">
        <f>IFERROR(__xludf.DUMMYFUNCTION("""COMPUTED_VALUE"""),"Длина последовательности ")</f>
        <v>Длина последовательности </v>
      </c>
      <c r="H80" s="1">
        <f>IFERROR(__xludf.DUMMYFUNCTION("""COMPUTED_VALUE"""),379.0)</f>
        <v>379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 t="str">
        <f>IFERROR(__xludf.DUMMYFUNCTION("""COMPUTED_VALUE"""),"Натуральный делитель")</f>
        <v>Натуральный делитель</v>
      </c>
      <c r="H81" s="1">
        <f>IFERROR(__xludf.DUMMYFUNCTION("""COMPUTED_VALUE"""),380.0)</f>
        <v>380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 t="str">
        <f>IFERROR(__xludf.DUMMYFUNCTION("""COMPUTED_VALUE"""),"Алгоритм нахождения целой части и остатка")</f>
        <v>Алгоритм нахождения целой части и остатка</v>
      </c>
      <c r="H82" s="1">
        <f>IFERROR(__xludf.DUMMYFUNCTION("""COMPUTED_VALUE"""),381.0)</f>
        <v>381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 t="str">
        <f>IFERROR(__xludf.DUMMYFUNCTION("""COMPUTED_VALUE"""),"Арифметическая прогрессия")</f>
        <v>Арифметическая прогрессия</v>
      </c>
      <c r="H83" s="1">
        <f>IFERROR(__xludf.DUMMYFUNCTION("""COMPUTED_VALUE"""),382.0)</f>
        <v>382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 t="str">
        <f>IFERROR(__xludf.DUMMYFUNCTION("""COMPUTED_VALUE"""),"Сложная сортировка списка списков")</f>
        <v>Сложная сортировка списка списков</v>
      </c>
      <c r="H84" s="1">
        <f>IFERROR(__xludf.DUMMYFUNCTION("""COMPUTED_VALUE"""),383.0)</f>
        <v>383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 t="str">
        <f>IFERROR(__xludf.DUMMYFUNCTION("""COMPUTED_VALUE"""),"Объявление переменных")</f>
        <v>Объявление переменных</v>
      </c>
      <c r="H85" s="1">
        <f>IFERROR(__xludf.DUMMYFUNCTION("""COMPUTED_VALUE"""),384.0)</f>
        <v>384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 t="str">
        <f>IFERROR(__xludf.DUMMYFUNCTION("""COMPUTED_VALUE"""),"Алгоритм перевода из 10сс в Ncc")</f>
        <v>Алгоритм перевода из 10сс в Ncc</v>
      </c>
      <c r="H86" s="1">
        <f>IFERROR(__xludf.DUMMYFUNCTION("""COMPUTED_VALUE"""),385.0)</f>
        <v>385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 t="str">
        <f>IFERROR(__xludf.DUMMYFUNCTION("""COMPUTED_VALUE"""),"Оператор break")</f>
        <v>Оператор break</v>
      </c>
      <c r="H87" s="1">
        <f>IFERROR(__xludf.DUMMYFUNCTION("""COMPUTED_VALUE"""),386.0)</f>
        <v>386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 t="str">
        <f>IFERROR(__xludf.DUMMYFUNCTION("""COMPUTED_VALUE"""),"Оператор continue ")</f>
        <v>Оператор continue </v>
      </c>
      <c r="H88" s="1">
        <f>IFERROR(__xludf.DUMMYFUNCTION("""COMPUTED_VALUE"""),387.0)</f>
        <v>387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