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IFERROR(__xludf.DUMMYFUNCTION("IMPORTRANGE(""https://docs.google.com/spreadsheets/d/1f3wdinaxFi4TFTEfN32ZTxXmal99HbAQwN6uuZh4Opg/edit?usp=sharing"",""УМИТЫ!A:Z"")"),"Орфография")</f>
        <v>Орфография</v>
      </c>
      <c r="B1" s="1"/>
      <c r="C1" s="1" t="str">
        <f>IFERROR(__xludf.DUMMYFUNCTION("""COMPUTED_VALUE"""),"Пунктуация")</f>
        <v>Пунктуация</v>
      </c>
      <c r="D1" s="1"/>
      <c r="E1" s="1" t="str">
        <f>IFERROR(__xludf.DUMMYFUNCTION("""COMPUTED_VALUE"""),"Синтаксис")</f>
        <v>Синтаксис</v>
      </c>
      <c r="F1" s="1"/>
      <c r="G1" s="1" t="str">
        <f>IFERROR(__xludf.DUMMYFUNCTION("""COMPUTED_VALUE"""),"Грамматика")</f>
        <v>Грамматика</v>
      </c>
      <c r="H1" s="1"/>
      <c r="I1" s="1" t="str">
        <f>IFERROR(__xludf.DUMMYFUNCTION("""COMPUTED_VALUE"""),"Лексика")</f>
        <v>Лексика</v>
      </c>
      <c r="J1" s="1"/>
      <c r="K1" s="1" t="str">
        <f>IFERROR(__xludf.DUMMYFUNCTION("""COMPUTED_VALUE"""),"Морфология")</f>
        <v>Морфология</v>
      </c>
      <c r="L1" s="1"/>
      <c r="M1" s="1" t="str">
        <f>IFERROR(__xludf.DUMMYFUNCTION("""COMPUTED_VALUE"""),"Морфемика и слоообразование")</f>
        <v>Морфемика и слоообразование</v>
      </c>
      <c r="N1" s="1"/>
      <c r="O1" s="1" t="str">
        <f>IFERROR(__xludf.DUMMYFUNCTION("""COMPUTED_VALUE"""),"Фонетика и орфоэпия")</f>
        <v>Фонетика и орфоэпия</v>
      </c>
      <c r="P1" s="1"/>
      <c r="Q1" s="1" t="str">
        <f>IFERROR(__xludf.DUMMYFUNCTION("""COMPUTED_VALUE"""),"Текст. Создание текстов различных стилей")</f>
        <v>Текст. Создание текстов различных стилей</v>
      </c>
      <c r="R1" s="1"/>
      <c r="S1" s="1" t="str">
        <f>IFERROR(__xludf.DUMMYFUNCTION("""COMPUTED_VALUE"""),"Навыки и умения")</f>
        <v>Навыки и умения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IFERROR(__xludf.DUMMYFUNCTION("""COMPUTED_VALUE"""),"Корневая омонимия. Омонимия частей речи")</f>
        <v>Корневая омонимия. Омонимия частей речи</v>
      </c>
      <c r="B2" s="1">
        <f>IFERROR(__xludf.DUMMYFUNCTION("""COMPUTED_VALUE"""),1.0)</f>
        <v>1</v>
      </c>
      <c r="C2" s="1" t="str">
        <f>IFERROR(__xludf.DUMMYFUNCTION("""COMPUTED_VALUE"""),"Знаки препинания при прямой речи")</f>
        <v>Знаки препинания при прямой речи</v>
      </c>
      <c r="D2" s="1">
        <f>IFERROR(__xludf.DUMMYFUNCTION("""COMPUTED_VALUE"""),101.0)</f>
        <v>101</v>
      </c>
      <c r="E2" s="1" t="str">
        <f>IFERROR(__xludf.DUMMYFUNCTION("""COMPUTED_VALUE"""),"Словосочетание")</f>
        <v>Словосочетание</v>
      </c>
      <c r="F2" s="1">
        <f>IFERROR(__xludf.DUMMYFUNCTION("""COMPUTED_VALUE"""),201.0)</f>
        <v>201</v>
      </c>
      <c r="G2" s="1" t="str">
        <f>IFERROR(__xludf.DUMMYFUNCTION("""COMPUTED_VALUE"""),"Формы именительного падежа множественного числа существительных")</f>
        <v>Формы именительного падежа множественного числа существительных</v>
      </c>
      <c r="H2" s="1">
        <f>IFERROR(__xludf.DUMMYFUNCTION("""COMPUTED_VALUE"""),301.0)</f>
        <v>301</v>
      </c>
      <c r="I2" s="1" t="str">
        <f>IFERROR(__xludf.DUMMYFUNCTION("""COMPUTED_VALUE"""),"Однозначные и многозначные слова")</f>
        <v>Однозначные и многозначные слова</v>
      </c>
      <c r="J2" s="1">
        <f>IFERROR(__xludf.DUMMYFUNCTION("""COMPUTED_VALUE"""),401.0)</f>
        <v>401</v>
      </c>
      <c r="K2" s="1" t="str">
        <f>IFERROR(__xludf.DUMMYFUNCTION("""COMPUTED_VALUE"""),"Существительное")</f>
        <v>Существительное</v>
      </c>
      <c r="L2" s="1">
        <f>IFERROR(__xludf.DUMMYFUNCTION("""COMPUTED_VALUE"""),501.0)</f>
        <v>501</v>
      </c>
      <c r="M2" s="1" t="str">
        <f>IFERROR(__xludf.DUMMYFUNCTION("""COMPUTED_VALUE"""),"Морфема")</f>
        <v>Морфема</v>
      </c>
      <c r="N2" s="1">
        <f>IFERROR(__xludf.DUMMYFUNCTION("""COMPUTED_VALUE"""),601.0)</f>
        <v>601</v>
      </c>
      <c r="O2" s="1" t="str">
        <f>IFERROR(__xludf.DUMMYFUNCTION("""COMPUTED_VALUE"""),"Звук и буква")</f>
        <v>Звук и буква</v>
      </c>
      <c r="P2" s="1">
        <f>IFERROR(__xludf.DUMMYFUNCTION("""COMPUTED_VALUE"""),701.0)</f>
        <v>701</v>
      </c>
      <c r="Q2" s="1" t="str">
        <f>IFERROR(__xludf.DUMMYFUNCTION("""COMPUTED_VALUE"""),"Текст. Смысловая и композиционная целостность текста")</f>
        <v>Текст. Смысловая и композиционная целостность текста</v>
      </c>
      <c r="R2" s="1">
        <f>IFERROR(__xludf.DUMMYFUNCTION("""COMPUTED_VALUE"""),801.0)</f>
        <v>801</v>
      </c>
      <c r="S2" s="1" t="str">
        <f>IFERROR(__xludf.DUMMYFUNCTION("""COMPUTED_VALUE"""),"Владение всеми видами речевой деятельности (аудирование и чтение)")</f>
        <v>Владение всеми видами речевой деятельности (аудирование и чтение)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IFERROR(__xludf.DUMMYFUNCTION("""COMPUTED_VALUE"""),"Правописание проверяемых гласных в корне слова")</f>
        <v>Правописание проверяемых гласных в корне слова</v>
      </c>
      <c r="B3" s="1">
        <f>IFERROR(__xludf.DUMMYFUNCTION("""COMPUTED_VALUE"""),2.0)</f>
        <v>2</v>
      </c>
      <c r="C3" s="1" t="str">
        <f>IFERROR(__xludf.DUMMYFUNCTION("""COMPUTED_VALUE"""),"Пунктуация в предложениях с однородными членами, связанными бессоюзной связью")</f>
        <v>Пунктуация в предложениях с однородными членами, связанными бессоюзной связью</v>
      </c>
      <c r="D3" s="1">
        <f>IFERROR(__xludf.DUMMYFUNCTION("""COMPUTED_VALUE"""),102.0)</f>
        <v>102</v>
      </c>
      <c r="E3" s="1" t="str">
        <f>IFERROR(__xludf.DUMMYFUNCTION("""COMPUTED_VALUE"""),"Виды связи словосочетания. Согласование")</f>
        <v>Виды связи словосочетания. Согласование</v>
      </c>
      <c r="F3" s="1">
        <f>IFERROR(__xludf.DUMMYFUNCTION("""COMPUTED_VALUE"""),202.0)</f>
        <v>202</v>
      </c>
      <c r="G3" s="1" t="str">
        <f>IFERROR(__xludf.DUMMYFUNCTION("""COMPUTED_VALUE"""),"Формы родительного падежа множественного числа существительных")</f>
        <v>Формы родительного падежа множественного числа существительных</v>
      </c>
      <c r="H3" s="1">
        <f>IFERROR(__xludf.DUMMYFUNCTION("""COMPUTED_VALUE"""),302.0)</f>
        <v>302</v>
      </c>
      <c r="I3" s="1" t="str">
        <f>IFERROR(__xludf.DUMMYFUNCTION("""COMPUTED_VALUE"""),"Прямое и переносное значения слова")</f>
        <v>Прямое и переносное значения слова</v>
      </c>
      <c r="J3" s="1">
        <f>IFERROR(__xludf.DUMMYFUNCTION("""COMPUTED_VALUE"""),402.0)</f>
        <v>402</v>
      </c>
      <c r="K3" s="1" t="str">
        <f>IFERROR(__xludf.DUMMYFUNCTION("""COMPUTED_VALUE"""),"Собственные и нарицательные существительные")</f>
        <v>Собственные и нарицательные существительные</v>
      </c>
      <c r="L3" s="1">
        <f>IFERROR(__xludf.DUMMYFUNCTION("""COMPUTED_VALUE"""),502.0)</f>
        <v>502</v>
      </c>
      <c r="M3" s="1" t="str">
        <f>IFERROR(__xludf.DUMMYFUNCTION("""COMPUTED_VALUE"""),"Чередования гласных")</f>
        <v>Чередования гласных</v>
      </c>
      <c r="N3" s="1">
        <f>IFERROR(__xludf.DUMMYFUNCTION("""COMPUTED_VALUE"""),602.0)</f>
        <v>602</v>
      </c>
      <c r="O3" s="1" t="str">
        <f>IFERROR(__xludf.DUMMYFUNCTION("""COMPUTED_VALUE"""),"Фонетическая транскрипция")</f>
        <v>Фонетическая транскрипция</v>
      </c>
      <c r="P3" s="1">
        <f>IFERROR(__xludf.DUMMYFUNCTION("""COMPUTED_VALUE"""),702.0)</f>
        <v>702</v>
      </c>
      <c r="Q3" s="1" t="str">
        <f>IFERROR(__xludf.DUMMYFUNCTION("""COMPUTED_VALUE"""),"Тема")</f>
        <v>Тема</v>
      </c>
      <c r="R3" s="1">
        <f>IFERROR(__xludf.DUMMYFUNCTION("""COMPUTED_VALUE"""),802.0)</f>
        <v>802</v>
      </c>
      <c r="S3" s="1" t="str">
        <f>IFERROR(__xludf.DUMMYFUNCTION("""COMPUTED_VALUE"""),"Понимание информации устного и письменного сообщения (темы, основной мысли, основной и дополнительной информации)")</f>
        <v>Понимание информации устного и письменного сообщения (темы, основной мысли, основной и дополнительной информации)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IFERROR(__xludf.DUMMYFUNCTION("""COMPUTED_VALUE"""),"Форма слова. Однокоренные слова")</f>
        <v>Форма слова. Однокоренные слова</v>
      </c>
      <c r="B4" s="1">
        <f>IFERROR(__xludf.DUMMYFUNCTION("""COMPUTED_VALUE"""),3.0)</f>
        <v>3</v>
      </c>
      <c r="C4" s="1" t="str">
        <f>IFERROR(__xludf.DUMMYFUNCTION("""COMPUTED_VALUE"""),"Пунктуация в предложениях с однородными членами, связанными одиночным соединительным или разделительным союзом")</f>
        <v>Пунктуация в предложениях с однородными членами, связанными одиночным соединительным или разделительным союзом</v>
      </c>
      <c r="D4" s="1">
        <f>IFERROR(__xludf.DUMMYFUNCTION("""COMPUTED_VALUE"""),103.0)</f>
        <v>103</v>
      </c>
      <c r="E4" s="1" t="str">
        <f>IFERROR(__xludf.DUMMYFUNCTION("""COMPUTED_VALUE"""),"Виды связи словосочетания. Управление")</f>
        <v>Виды связи словосочетания. Управление</v>
      </c>
      <c r="F4" s="1">
        <f>IFERROR(__xludf.DUMMYFUNCTION("""COMPUTED_VALUE"""),203.0)</f>
        <v>203</v>
      </c>
      <c r="G4" s="1" t="str">
        <f>IFERROR(__xludf.DUMMYFUNCTION("""COMPUTED_VALUE"""),"Нормативное образование и употребление глагольных форм")</f>
        <v>Нормативное образование и употребление глагольных форм</v>
      </c>
      <c r="H4" s="1">
        <f>IFERROR(__xludf.DUMMYFUNCTION("""COMPUTED_VALUE"""),303.0)</f>
        <v>303</v>
      </c>
      <c r="I4" s="1" t="str">
        <f>IFERROR(__xludf.DUMMYFUNCTION("""COMPUTED_VALUE"""),"Омонимы")</f>
        <v>Омонимы</v>
      </c>
      <c r="J4" s="1">
        <f>IFERROR(__xludf.DUMMYFUNCTION("""COMPUTED_VALUE"""),403.0)</f>
        <v>403</v>
      </c>
      <c r="K4" s="1" t="str">
        <f>IFERROR(__xludf.DUMMYFUNCTION("""COMPUTED_VALUE"""),"Склонение существительных.")</f>
        <v>Склонение существительных.</v>
      </c>
      <c r="L4" s="1">
        <f>IFERROR(__xludf.DUMMYFUNCTION("""COMPUTED_VALUE"""),503.0)</f>
        <v>503</v>
      </c>
      <c r="M4" s="1" t="str">
        <f>IFERROR(__xludf.DUMMYFUNCTION("""COMPUTED_VALUE"""),"Чередования согласных")</f>
        <v>Чередования согласных</v>
      </c>
      <c r="N4" s="1">
        <f>IFERROR(__xludf.DUMMYFUNCTION("""COMPUTED_VALUE"""),603.0)</f>
        <v>603</v>
      </c>
      <c r="O4" s="1" t="str">
        <f>IFERROR(__xludf.DUMMYFUNCTION("""COMPUTED_VALUE"""),"Гласные звуки и гласные буквы")</f>
        <v>Гласные звуки и гласные буквы</v>
      </c>
      <c r="P4" s="1">
        <f>IFERROR(__xludf.DUMMYFUNCTION("""COMPUTED_VALUE"""),703.0)</f>
        <v>703</v>
      </c>
      <c r="Q4" s="1" t="str">
        <f>IFERROR(__xludf.DUMMYFUNCTION("""COMPUTED_VALUE"""),"Микротема")</f>
        <v>Микротема</v>
      </c>
      <c r="R4" s="1">
        <f>IFERROR(__xludf.DUMMYFUNCTION("""COMPUTED_VALUE"""),803.0)</f>
        <v>803</v>
      </c>
      <c r="S4" s="1" t="str">
        <f>IFERROR(__xludf.DUMMYFUNCTION("""COMPUTED_VALUE"""),"Владение разными видами чтения (поисковым, просмотровым, ознакомительным, изучающим) текстов разных стилей и жанров")</f>
        <v>Владение разными видами чтения (поисковым, просмотровым, ознакомительным, изучающим) текстов разных стилей и жанров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IFERROR(__xludf.DUMMYFUNCTION("""COMPUTED_VALUE"""),"Правописание непроверяемых гласных в корне слова")</f>
        <v>Правописание непроверяемых гласных в корне слова</v>
      </c>
      <c r="B5" s="1">
        <f>IFERROR(__xludf.DUMMYFUNCTION("""COMPUTED_VALUE"""),4.0)</f>
        <v>4</v>
      </c>
      <c r="C5" s="1" t="str">
        <f>IFERROR(__xludf.DUMMYFUNCTION("""COMPUTED_VALUE"""),"Пунктуация в предложениях с однородными членами, связанными противительным союзом")</f>
        <v>Пунктуация в предложениях с однородными членами, связанными противительным союзом</v>
      </c>
      <c r="D5" s="1">
        <f>IFERROR(__xludf.DUMMYFUNCTION("""COMPUTED_VALUE"""),104.0)</f>
        <v>104</v>
      </c>
      <c r="E5" s="1" t="str">
        <f>IFERROR(__xludf.DUMMYFUNCTION("""COMPUTED_VALUE"""),"Виды связи словосочетания. Примыкание")</f>
        <v>Виды связи словосочетания. Примыкание</v>
      </c>
      <c r="F5" s="1">
        <f>IFERROR(__xludf.DUMMYFUNCTION("""COMPUTED_VALUE"""),204.0)</f>
        <v>204</v>
      </c>
      <c r="G5" s="1" t="str">
        <f>IFERROR(__xludf.DUMMYFUNCTION("""COMPUTED_VALUE"""),"Нормативное употребление повелительного наклонения глаголов")</f>
        <v>Нормативное употребление повелительного наклонения глаголов</v>
      </c>
      <c r="H5" s="1">
        <f>IFERROR(__xludf.DUMMYFUNCTION("""COMPUTED_VALUE"""),304.0)</f>
        <v>304</v>
      </c>
      <c r="I5" s="1" t="str">
        <f>IFERROR(__xludf.DUMMYFUNCTION("""COMPUTED_VALUE"""),"Синонимы")</f>
        <v>Синонимы</v>
      </c>
      <c r="J5" s="1">
        <f>IFERROR(__xludf.DUMMYFUNCTION("""COMPUTED_VALUE"""),404.0)</f>
        <v>404</v>
      </c>
      <c r="K5" s="1" t="str">
        <f>IFERROR(__xludf.DUMMYFUNCTION("""COMPUTED_VALUE"""),"Род существительных")</f>
        <v>Род существительных</v>
      </c>
      <c r="L5" s="1">
        <f>IFERROR(__xludf.DUMMYFUNCTION("""COMPUTED_VALUE"""),504.0)</f>
        <v>504</v>
      </c>
      <c r="M5" s="1" t="str">
        <f>IFERROR(__xludf.DUMMYFUNCTION("""COMPUTED_VALUE"""),"Корень")</f>
        <v>Корень</v>
      </c>
      <c r="N5" s="1">
        <f>IFERROR(__xludf.DUMMYFUNCTION("""COMPUTED_VALUE"""),604.0)</f>
        <v>604</v>
      </c>
      <c r="O5" s="1" t="str">
        <f>IFERROR(__xludf.DUMMYFUNCTION("""COMPUTED_VALUE"""),"Согласные звуки и согласные буквы")</f>
        <v>Согласные звуки и согласные буквы</v>
      </c>
      <c r="P5" s="1">
        <f>IFERROR(__xludf.DUMMYFUNCTION("""COMPUTED_VALUE"""),704.0)</f>
        <v>704</v>
      </c>
      <c r="Q5" s="1" t="str">
        <f>IFERROR(__xludf.DUMMYFUNCTION("""COMPUTED_VALUE"""),"Приёмы сжатия. Исключение. Замена. Обобщение")</f>
        <v>Приёмы сжатия. Исключение. Замена. Обобщение</v>
      </c>
      <c r="R5" s="1">
        <f>IFERROR(__xludf.DUMMYFUNCTION("""COMPUTED_VALUE"""),804.0)</f>
        <v>804</v>
      </c>
      <c r="S5" s="1" t="str">
        <f>IFERROR(__xludf.DUMMYFUNCTION("""COMPUTED_VALUE"""),"Восприятие на слух текстов разных стилей и жанров")</f>
        <v>Восприятие на слух текстов разных стилей и жанров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IFERROR(__xludf.DUMMYFUNCTION("""COMPUTED_VALUE"""),"Правописание чередующихся гласных в корне слова, зависящих от суффикса -а-")</f>
        <v>Правописание чередующихся гласных в корне слова, зависящих от суффикса -а-</v>
      </c>
      <c r="B6" s="1">
        <f>IFERROR(__xludf.DUMMYFUNCTION("""COMPUTED_VALUE"""),5.0)</f>
        <v>5</v>
      </c>
      <c r="C6" s="1" t="str">
        <f>IFERROR(__xludf.DUMMYFUNCTION("""COMPUTED_VALUE"""),"Пунктуация в предложениях с однородными членами, связанными повторяющимися союзами")</f>
        <v>Пунктуация в предложениях с однородными членами, связанными повторяющимися союзами</v>
      </c>
      <c r="D6" s="1">
        <f>IFERROR(__xludf.DUMMYFUNCTION("""COMPUTED_VALUE"""),105.0)</f>
        <v>105</v>
      </c>
      <c r="E6" s="1" t="str">
        <f>IFERROR(__xludf.DUMMYFUNCTION("""COMPUTED_VALUE"""),"Синонимичные словосочетания")</f>
        <v>Синонимичные словосочетания</v>
      </c>
      <c r="F6" s="1">
        <f>IFERROR(__xludf.DUMMYFUNCTION("""COMPUTED_VALUE"""),205.0)</f>
        <v>205</v>
      </c>
      <c r="G6" s="1" t="str">
        <f>IFERROR(__xludf.DUMMYFUNCTION("""COMPUTED_VALUE"""),"Нормативное употребление сравнительной и превосходной степени имён прилагательных")</f>
        <v>Нормативное употребление сравнительной и превосходной степени имён прилагательных</v>
      </c>
      <c r="H6" s="1">
        <f>IFERROR(__xludf.DUMMYFUNCTION("""COMPUTED_VALUE"""),305.0)</f>
        <v>305</v>
      </c>
      <c r="I6" s="1" t="str">
        <f>IFERROR(__xludf.DUMMYFUNCTION("""COMPUTED_VALUE"""),"Антонимы")</f>
        <v>Антонимы</v>
      </c>
      <c r="J6" s="1">
        <f>IFERROR(__xludf.DUMMYFUNCTION("""COMPUTED_VALUE"""),405.0)</f>
        <v>405</v>
      </c>
      <c r="K6" s="1" t="str">
        <f>IFERROR(__xludf.DUMMYFUNCTION("""COMPUTED_VALUE"""),"Несклоняемые существительные")</f>
        <v>Несклоняемые существительные</v>
      </c>
      <c r="L6" s="1">
        <f>IFERROR(__xludf.DUMMYFUNCTION("""COMPUTED_VALUE"""),505.0)</f>
        <v>505</v>
      </c>
      <c r="M6" s="1" t="str">
        <f>IFERROR(__xludf.DUMMYFUNCTION("""COMPUTED_VALUE"""),"Словообразующие и формообразующие морфемы")</f>
        <v>Словообразующие и формообразующие морфемы</v>
      </c>
      <c r="N6" s="1">
        <f>IFERROR(__xludf.DUMMYFUNCTION("""COMPUTED_VALUE"""),605.0)</f>
        <v>605</v>
      </c>
      <c r="O6" s="1" t="str">
        <f>IFERROR(__xludf.DUMMYFUNCTION("""COMPUTED_VALUE"""),"Глухие и звонкие согласные звуки")</f>
        <v>Глухие и звонкие согласные звуки</v>
      </c>
      <c r="P6" s="1">
        <f>IFERROR(__xludf.DUMMYFUNCTION("""COMPUTED_VALUE"""),705.0)</f>
        <v>705</v>
      </c>
      <c r="Q6" s="1" t="str">
        <f>IFERROR(__xludf.DUMMYFUNCTION("""COMPUTED_VALUE"""),"Основная мысль")</f>
        <v>Основная мысль</v>
      </c>
      <c r="R6" s="1">
        <f>IFERROR(__xludf.DUMMYFUNCTION("""COMPUTED_VALUE"""),805.0)</f>
        <v>805</v>
      </c>
      <c r="S6" s="1" t="str">
        <f>IFERROR(__xludf.DUMMYFUNCTION("""COMPUTED_VALUE"""),"Владение разными видами аудирования (выборочным, ознакомительным, детальным)")</f>
        <v>Владение разными видами аудирования (выборочным, ознакомительным, детальным)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IFERROR(__xludf.DUMMYFUNCTION("""COMPUTED_VALUE"""),"Правописание чередующихся гласных в корне слова, зависящих от согласной буквы на конце корня")</f>
        <v>Правописание чередующихся гласных в корне слова, зависящих от согласной буквы на конце корня</v>
      </c>
      <c r="B7" s="1">
        <f>IFERROR(__xludf.DUMMYFUNCTION("""COMPUTED_VALUE"""),6.0)</f>
        <v>6</v>
      </c>
      <c r="C7" s="1" t="str">
        <f>IFERROR(__xludf.DUMMYFUNCTION("""COMPUTED_VALUE"""),"Пунктуация в предложениях с однородными членами, связанными двойным союзом")</f>
        <v>Пунктуация в предложениях с однородными членами, связанными двойным союзом</v>
      </c>
      <c r="D7" s="1">
        <f>IFERROR(__xludf.DUMMYFUNCTION("""COMPUTED_VALUE"""),106.0)</f>
        <v>106</v>
      </c>
      <c r="E7" s="1" t="str">
        <f>IFERROR(__xludf.DUMMYFUNCTION("""COMPUTED_VALUE"""),"Способы выражения подлежащего")</f>
        <v>Способы выражения подлежащего</v>
      </c>
      <c r="F7" s="1">
        <f>IFERROR(__xludf.DUMMYFUNCTION("""COMPUTED_VALUE"""),206.0)</f>
        <v>206</v>
      </c>
      <c r="G7" s="1" t="str">
        <f>IFERROR(__xludf.DUMMYFUNCTION("""COMPUTED_VALUE"""),"Нормативное образование и употребление причастий и деепричастий")</f>
        <v>Нормативное образование и употребление причастий и деепричастий</v>
      </c>
      <c r="H7" s="1">
        <f>IFERROR(__xludf.DUMMYFUNCTION("""COMPUTED_VALUE"""),306.0)</f>
        <v>306</v>
      </c>
      <c r="I7" s="1" t="str">
        <f>IFERROR(__xludf.DUMMYFUNCTION("""COMPUTED_VALUE"""),"Устаревшая лексика. Архаизмы, историзмы")</f>
        <v>Устаревшая лексика. Архаизмы, историзмы</v>
      </c>
      <c r="J7" s="1">
        <f>IFERROR(__xludf.DUMMYFUNCTION("""COMPUTED_VALUE"""),406.0)</f>
        <v>406</v>
      </c>
      <c r="K7" s="1" t="str">
        <f>IFERROR(__xludf.DUMMYFUNCTION("""COMPUTED_VALUE"""),"Разносклоняемые существительные")</f>
        <v>Разносклоняемые существительные</v>
      </c>
      <c r="L7" s="1">
        <f>IFERROR(__xludf.DUMMYFUNCTION("""COMPUTED_VALUE"""),506.0)</f>
        <v>506</v>
      </c>
      <c r="M7" s="1" t="str">
        <f>IFERROR(__xludf.DUMMYFUNCTION("""COMPUTED_VALUE"""),"Приставка")</f>
        <v>Приставка</v>
      </c>
      <c r="N7" s="1">
        <f>IFERROR(__xludf.DUMMYFUNCTION("""COMPUTED_VALUE"""),606.0)</f>
        <v>606</v>
      </c>
      <c r="O7" s="1" t="str">
        <f>IFERROR(__xludf.DUMMYFUNCTION("""COMPUTED_VALUE"""),"Позиционное оглушение / озвончение")</f>
        <v>Позиционное оглушение / озвончение</v>
      </c>
      <c r="P7" s="1">
        <f>IFERROR(__xludf.DUMMYFUNCTION("""COMPUTED_VALUE"""),706.0)</f>
        <v>706</v>
      </c>
      <c r="Q7" s="1" t="str">
        <f>IFERROR(__xludf.DUMMYFUNCTION("""COMPUTED_VALUE"""),"Проблема. Способы формулировки проблемы")</f>
        <v>Проблема. Способы формулировки проблемы</v>
      </c>
      <c r="R7" s="1">
        <f>IFERROR(__xludf.DUMMYFUNCTION("""COMPUTED_VALUE"""),806.0)</f>
        <v>806</v>
      </c>
      <c r="S7" s="1" t="str">
        <f>IFERROR(__xludf.DUMMYFUNCTION("""COMPUTED_VALUE"""),"Умение сопоставлять и сравнивать речевые высказывания с точки зрения их содержания и стилистических особенностей")</f>
        <v>Умение сопоставлять и сравнивать речевые высказывания с точки зрения их содержания и стилистических особенностей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IFERROR(__xludf.DUMMYFUNCTION("""COMPUTED_VALUE"""),"Правописание чередующихся гласных в корне слова, зависящих от ударения")</f>
        <v>Правописание чередующихся гласных в корне слова, зависящих от ударения</v>
      </c>
      <c r="B8" s="1">
        <f>IFERROR(__xludf.DUMMYFUNCTION("""COMPUTED_VALUE"""),7.0)</f>
        <v>7</v>
      </c>
      <c r="C8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8" s="1">
        <f>IFERROR(__xludf.DUMMYFUNCTION("""COMPUTED_VALUE"""),107.0)</f>
        <v>107</v>
      </c>
      <c r="E8" s="1" t="str">
        <f>IFERROR(__xludf.DUMMYFUNCTION("""COMPUTED_VALUE"""),"Способы выражения сказуемого")</f>
        <v>Способы выражения сказуемого</v>
      </c>
      <c r="F8" s="1">
        <f>IFERROR(__xludf.DUMMYFUNCTION("""COMPUTED_VALUE"""),207.0)</f>
        <v>207</v>
      </c>
      <c r="G8" s="1" t="str">
        <f>IFERROR(__xludf.DUMMYFUNCTION("""COMPUTED_VALUE"""),"Нормативное образование и употребление местоимений")</f>
        <v>Нормативное образование и употребление местоимений</v>
      </c>
      <c r="H8" s="1">
        <f>IFERROR(__xludf.DUMMYFUNCTION("""COMPUTED_VALUE"""),307.0)</f>
        <v>307</v>
      </c>
      <c r="I8" s="1" t="str">
        <f>IFERROR(__xludf.DUMMYFUNCTION("""COMPUTED_VALUE"""),"Неологизмы")</f>
        <v>Неологизмы</v>
      </c>
      <c r="J8" s="1">
        <f>IFERROR(__xludf.DUMMYFUNCTION("""COMPUTED_VALUE"""),407.0)</f>
        <v>407</v>
      </c>
      <c r="K8" s="1" t="str">
        <f>IFERROR(__xludf.DUMMYFUNCTION("""COMPUTED_VALUE"""),"Существительные общего рода")</f>
        <v>Существительные общего рода</v>
      </c>
      <c r="L8" s="1">
        <f>IFERROR(__xludf.DUMMYFUNCTION("""COMPUTED_VALUE"""),507.0)</f>
        <v>507</v>
      </c>
      <c r="M8" s="1" t="str">
        <f>IFERROR(__xludf.DUMMYFUNCTION("""COMPUTED_VALUE"""),"Суффикс")</f>
        <v>Суффикс</v>
      </c>
      <c r="N8" s="1">
        <f>IFERROR(__xludf.DUMMYFUNCTION("""COMPUTED_VALUE"""),607.0)</f>
        <v>607</v>
      </c>
      <c r="O8" s="1" t="str">
        <f>IFERROR(__xludf.DUMMYFUNCTION("""COMPUTED_VALUE"""),"Твердые и мягкие согласные звуки")</f>
        <v>Твердые и мягкие согласные звуки</v>
      </c>
      <c r="P8" s="1">
        <f>IFERROR(__xludf.DUMMYFUNCTION("""COMPUTED_VALUE"""),707.0)</f>
        <v>707</v>
      </c>
      <c r="Q8" s="1" t="str">
        <f>IFERROR(__xludf.DUMMYFUNCTION("""COMPUTED_VALUE"""),"Вступление")</f>
        <v>Вступление</v>
      </c>
      <c r="R8" s="1">
        <f>IFERROR(__xludf.DUMMYFUNCTION("""COMPUTED_VALUE"""),807.0)</f>
        <v>807</v>
      </c>
      <c r="S8" s="1" t="str">
        <f>IFERROR(__xludf.DUMMYFUNCTION("""COMPUTED_VALUE"""),"Умение воспроизводить прослушанный или прочитанный текст (план, пересказ, конспект, аннотация)")</f>
        <v>Умение воспроизводить прослушанный или прочитанный текст (план, пересказ, конспект, аннотация)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IFERROR(__xludf.DUMMYFUNCTION("""COMPUTED_VALUE"""),"Правописание чередующихся гласных в корне слова, зависящих от лексического значения")</f>
        <v>Правописание чередующихся гласных в корне слова, зависящих от лексического значения</v>
      </c>
      <c r="B9" s="1">
        <f>IFERROR(__xludf.DUMMYFUNCTION("""COMPUTED_VALUE"""),8.0)</f>
        <v>8</v>
      </c>
      <c r="C9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9" s="1">
        <f>IFERROR(__xludf.DUMMYFUNCTION("""COMPUTED_VALUE"""),108.0)</f>
        <v>108</v>
      </c>
      <c r="E9" s="1" t="str">
        <f>IFERROR(__xludf.DUMMYFUNCTION("""COMPUTED_VALUE"""),"Простое глагольное сказуемое")</f>
        <v>Простое глагольное сказуемое</v>
      </c>
      <c r="F9" s="1">
        <f>IFERROR(__xludf.DUMMYFUNCTION("""COMPUTED_VALUE"""),208.0)</f>
        <v>208</v>
      </c>
      <c r="G9" s="1" t="str">
        <f>IFERROR(__xludf.DUMMYFUNCTION("""COMPUTED_VALUE"""),"Формы собирательных числительных")</f>
        <v>Формы собирательных числительных</v>
      </c>
      <c r="H9" s="1">
        <f>IFERROR(__xludf.DUMMYFUNCTION("""COMPUTED_VALUE"""),308.0)</f>
        <v>308</v>
      </c>
      <c r="I9" s="1" t="str">
        <f>IFERROR(__xludf.DUMMYFUNCTION("""COMPUTED_VALUE"""),"Общеупотребительная лексика и лексика ограниченного употребления")</f>
        <v>Общеупотребительная лексика и лексика ограниченного употребления</v>
      </c>
      <c r="J9" s="1">
        <f>IFERROR(__xludf.DUMMYFUNCTION("""COMPUTED_VALUE"""),408.0)</f>
        <v>408</v>
      </c>
      <c r="K9" s="1" t="str">
        <f>IFERROR(__xludf.DUMMYFUNCTION("""COMPUTED_VALUE"""),"Аббревиатуры")</f>
        <v>Аббревиатуры</v>
      </c>
      <c r="L9" s="1">
        <f>IFERROR(__xludf.DUMMYFUNCTION("""COMPUTED_VALUE"""),508.0)</f>
        <v>508</v>
      </c>
      <c r="M9" s="1" t="str">
        <f>IFERROR(__xludf.DUMMYFUNCTION("""COMPUTED_VALUE"""),"Интерфикс")</f>
        <v>Интерфикс</v>
      </c>
      <c r="N9" s="1">
        <f>IFERROR(__xludf.DUMMYFUNCTION("""COMPUTED_VALUE"""),608.0)</f>
        <v>608</v>
      </c>
      <c r="O9" s="1" t="str">
        <f>IFERROR(__xludf.DUMMYFUNCTION("""COMPUTED_VALUE"""),"Позиционное смягчение согласных")</f>
        <v>Позиционное смягчение согласных</v>
      </c>
      <c r="P9" s="1">
        <f>IFERROR(__xludf.DUMMYFUNCTION("""COMPUTED_VALUE"""),708.0)</f>
        <v>708</v>
      </c>
      <c r="Q9" s="1" t="str">
        <f>IFERROR(__xludf.DUMMYFUNCTION("""COMPUTED_VALUE"""),"Комментарий")</f>
        <v>Комментарий</v>
      </c>
      <c r="R9" s="1">
        <f>IFERROR(__xludf.DUMMYFUNCTION("""COMPUTED_VALUE"""),808.0)</f>
        <v>808</v>
      </c>
      <c r="S9" s="1" t="str">
        <f>IFERROR(__xludf.DUMMYFUNCTION("""COMPUTED_VALUE"""),"Умение создавать устные и письменные тексты разных типов, стилей речи и жанров с учетом замысла и ситуации общения")</f>
        <v>Умение создавать устные и письменные тексты разных типов, стилей речи и жанров с учетом замысла и ситуации общения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IFERROR(__xludf.DUMMYFUNCTION("""COMPUTED_VALUE"""),"Правописание неизменяемых приставок")</f>
        <v>Правописание неизменяемых приставок</v>
      </c>
      <c r="B10" s="1">
        <f>IFERROR(__xludf.DUMMYFUNCTION("""COMPUTED_VALUE"""),9.0)</f>
        <v>9</v>
      </c>
      <c r="C10" s="1" t="str">
        <f>IFERROR(__xludf.DUMMYFUNCTION("""COMPUTED_VALUE"""),"Пунктуация в предложениях с однородными членами и обобщающим словом")</f>
        <v>Пунктуация в предложениях с однородными членами и обобщающим словом</v>
      </c>
      <c r="D10" s="1">
        <f>IFERROR(__xludf.DUMMYFUNCTION("""COMPUTED_VALUE"""),109.0)</f>
        <v>109</v>
      </c>
      <c r="E10" s="1" t="str">
        <f>IFERROR(__xludf.DUMMYFUNCTION("""COMPUTED_VALUE"""),"Составное глагольное сказуемое")</f>
        <v>Составное глагольное сказуемое</v>
      </c>
      <c r="F10" s="1">
        <f>IFERROR(__xludf.DUMMYFUNCTION("""COMPUTED_VALUE"""),209.0)</f>
        <v>209</v>
      </c>
      <c r="G10" s="1" t="str">
        <f>IFERROR(__xludf.DUMMYFUNCTION("""COMPUTED_VALUE"""),"Ошибки, связанные с неправильным употреблением падежной формы имени существительного с предлогом")</f>
        <v>Ошибки, связанные с неправильным употреблением падежной формы имени существительного с предлогом</v>
      </c>
      <c r="H10" s="1">
        <f>IFERROR(__xludf.DUMMYFUNCTION("""COMPUTED_VALUE"""),309.0)</f>
        <v>309</v>
      </c>
      <c r="I10" s="1" t="str">
        <f>IFERROR(__xludf.DUMMYFUNCTION("""COMPUTED_VALUE"""),"Диалектизмы")</f>
        <v>Диалектизмы</v>
      </c>
      <c r="J10" s="1">
        <f>IFERROR(__xludf.DUMMYFUNCTION("""COMPUTED_VALUE"""),409.0)</f>
        <v>409</v>
      </c>
      <c r="K10" s="1" t="str">
        <f>IFERROR(__xludf.DUMMYFUNCTION("""COMPUTED_VALUE"""),"Число существительных")</f>
        <v>Число существительных</v>
      </c>
      <c r="L10" s="1">
        <f>IFERROR(__xludf.DUMMYFUNCTION("""COMPUTED_VALUE"""),509.0)</f>
        <v>509</v>
      </c>
      <c r="M10" s="1" t="str">
        <f>IFERROR(__xludf.DUMMYFUNCTION("""COMPUTED_VALUE"""),"Постфикс")</f>
        <v>Постфикс</v>
      </c>
      <c r="N10" s="1">
        <f>IFERROR(__xludf.DUMMYFUNCTION("""COMPUTED_VALUE"""),609.0)</f>
        <v>609</v>
      </c>
      <c r="O10" s="1" t="str">
        <f>IFERROR(__xludf.DUMMYFUNCTION("""COMPUTED_VALUE"""),"Упрощение групп согласных (непроизносимый согласный)")</f>
        <v>Упрощение групп согласных (непроизносимый согласный)</v>
      </c>
      <c r="P10" s="1">
        <f>IFERROR(__xludf.DUMMYFUNCTION("""COMPUTED_VALUE"""),709.0)</f>
        <v>709</v>
      </c>
      <c r="Q10" s="1" t="str">
        <f>IFERROR(__xludf.DUMMYFUNCTION("""COMPUTED_VALUE"""),"Иллюстрация. Пояснение")</f>
        <v>Иллюстрация. Пояснение</v>
      </c>
      <c r="R10" s="1">
        <f>IFERROR(__xludf.DUMMYFUNCTION("""COMPUTED_VALUE"""),809.0)</f>
        <v>809</v>
      </c>
      <c r="S10" s="1" t="str">
        <f>IFERROR(__xludf.DUMMYFUNCTION("""COMPUTED_VALUE"""),"Способность свободно излагать свои мысли в устной и письменной форме")</f>
        <v>Способность свободно излагать свои мысли в устной и письменной форме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IFERROR(__xludf.DUMMYFUNCTION("""COMPUTED_VALUE"""),"Правописание изменяемых приставок")</f>
        <v>Правописание изменяемых приставок</v>
      </c>
      <c r="B11" s="1">
        <f>IFERROR(__xludf.DUMMYFUNCTION("""COMPUTED_VALUE"""),10.0)</f>
        <v>10</v>
      </c>
      <c r="C11" s="1" t="str">
        <f>IFERROR(__xludf.DUMMYFUNCTION("""COMPUTED_VALUE"""),"Однородные и неоднородные определения")</f>
        <v>Однородные и неоднородные определения</v>
      </c>
      <c r="D11" s="1">
        <f>IFERROR(__xludf.DUMMYFUNCTION("""COMPUTED_VALUE"""),110.0)</f>
        <v>110</v>
      </c>
      <c r="E11" s="1" t="str">
        <f>IFERROR(__xludf.DUMMYFUNCTION("""COMPUTED_VALUE"""),"Составное именное сказуемое")</f>
        <v>Составное именное сказуемое</v>
      </c>
      <c r="F11" s="1">
        <f>IFERROR(__xludf.DUMMYFUNCTION("""COMPUTED_VALUE"""),210.0)</f>
        <v>210</v>
      </c>
      <c r="G11" s="1" t="str">
        <f>IFERROR(__xludf.DUMMYFUNCTION("""COMPUTED_VALUE"""),"Ошибки, связанные с нарушением связи между подлежащим и сказуемым")</f>
        <v>Ошибки, связанные с нарушением связи между подлежащим и сказуемым</v>
      </c>
      <c r="H11" s="1">
        <f>IFERROR(__xludf.DUMMYFUNCTION("""COMPUTED_VALUE"""),310.0)</f>
        <v>310</v>
      </c>
      <c r="I11" s="1" t="str">
        <f>IFERROR(__xludf.DUMMYFUNCTION("""COMPUTED_VALUE"""),"Специальная лексика. Термины, профессионализмы")</f>
        <v>Специальная лексика. Термины, профессионализмы</v>
      </c>
      <c r="J11" s="1">
        <f>IFERROR(__xludf.DUMMYFUNCTION("""COMPUTED_VALUE"""),410.0)</f>
        <v>410</v>
      </c>
      <c r="K11" s="1" t="str">
        <f>IFERROR(__xludf.DUMMYFUNCTION("""COMPUTED_VALUE"""),"Существительные singularia и pluralia tantum")</f>
        <v>Существительные singularia и pluralia tantum</v>
      </c>
      <c r="L11" s="1">
        <f>IFERROR(__xludf.DUMMYFUNCTION("""COMPUTED_VALUE"""),510.0)</f>
        <v>510</v>
      </c>
      <c r="M11" s="1" t="str">
        <f>IFERROR(__xludf.DUMMYFUNCTION("""COMPUTED_VALUE"""),"Окончание")</f>
        <v>Окончание</v>
      </c>
      <c r="N11" s="1">
        <f>IFERROR(__xludf.DUMMYFUNCTION("""COMPUTED_VALUE"""),610.0)</f>
        <v>610</v>
      </c>
      <c r="O11" s="1" t="str">
        <f>IFERROR(__xludf.DUMMYFUNCTION("""COMPUTED_VALUE"""),"Ударение в существительных")</f>
        <v>Ударение в существительных</v>
      </c>
      <c r="P11" s="1">
        <f>IFERROR(__xludf.DUMMYFUNCTION("""COMPUTED_VALUE"""),710.0)</f>
        <v>710</v>
      </c>
      <c r="Q11" s="1" t="str">
        <f>IFERROR(__xludf.DUMMYFUNCTION("""COMPUTED_VALUE"""),"Смысловая связь и её анализ")</f>
        <v>Смысловая связь и её анализ</v>
      </c>
      <c r="R11" s="1">
        <f>IFERROR(__xludf.DUMMYFUNCTION("""COMPUTED_VALUE"""),810.0)</f>
        <v>810</v>
      </c>
      <c r="S1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IFERROR(__xludf.DUMMYFUNCTION("""COMPUTED_VALUE"""),"Глухие и звонкие звуки")</f>
        <v>Глухие и звонкие звуки</v>
      </c>
      <c r="B12" s="1">
        <f>IFERROR(__xludf.DUMMYFUNCTION("""COMPUTED_VALUE"""),11.0)</f>
        <v>11</v>
      </c>
      <c r="C12" s="1" t="str">
        <f>IFERROR(__xludf.DUMMYFUNCTION("""COMPUTED_VALUE"""),"Знаки препинания при обращении")</f>
        <v>Знаки препинания при обращении</v>
      </c>
      <c r="D12" s="1">
        <f>IFERROR(__xludf.DUMMYFUNCTION("""COMPUTED_VALUE"""),111.0)</f>
        <v>111</v>
      </c>
      <c r="E12" s="1" t="str">
        <f>IFERROR(__xludf.DUMMYFUNCTION("""COMPUTED_VALUE"""),"Простое предложение. Двусоставные предложения")</f>
        <v>Простое предложение. Двусоставные предложения</v>
      </c>
      <c r="F12" s="1">
        <f>IFERROR(__xludf.DUMMYFUNCTION("""COMPUTED_VALUE"""),211.0)</f>
        <v>211</v>
      </c>
      <c r="G12" s="1" t="str">
        <f>IFERROR(__xludf.DUMMYFUNCTION("""COMPUTED_VALUE"""),"Ошибки в ошибки, связанные с нарушением видовременной соотнесённости глагольных форм")</f>
        <v>Ошибки в ошибки, связанные с нарушением видовременной соотнесённости глагольных форм</v>
      </c>
      <c r="H12" s="1">
        <f>IFERROR(__xludf.DUMMYFUNCTION("""COMPUTED_VALUE"""),311.0)</f>
        <v>311</v>
      </c>
      <c r="I12" s="1" t="str">
        <f>IFERROR(__xludf.DUMMYFUNCTION("""COMPUTED_VALUE"""),"Жаргонная лексика. Сленг")</f>
        <v>Жаргонная лексика. Сленг</v>
      </c>
      <c r="J12" s="1">
        <f>IFERROR(__xludf.DUMMYFUNCTION("""COMPUTED_VALUE"""),411.0)</f>
        <v>411</v>
      </c>
      <c r="K12" s="1" t="str">
        <f>IFERROR(__xludf.DUMMYFUNCTION("""COMPUTED_VALUE"""),"Падежи существительных")</f>
        <v>Падежи существительных</v>
      </c>
      <c r="L12" s="1">
        <f>IFERROR(__xludf.DUMMYFUNCTION("""COMPUTED_VALUE"""),511.0)</f>
        <v>511</v>
      </c>
      <c r="M12" s="1" t="str">
        <f>IFERROR(__xludf.DUMMYFUNCTION("""COMPUTED_VALUE"""),"Основа")</f>
        <v>Основа</v>
      </c>
      <c r="N12" s="1">
        <f>IFERROR(__xludf.DUMMYFUNCTION("""COMPUTED_VALUE"""),611.0)</f>
        <v>611</v>
      </c>
      <c r="O12" s="1" t="str">
        <f>IFERROR(__xludf.DUMMYFUNCTION("""COMPUTED_VALUE"""),"Ударение в прилагательных")</f>
        <v>Ударение в прилагательных</v>
      </c>
      <c r="P12" s="1">
        <f>IFERROR(__xludf.DUMMYFUNCTION("""COMPUTED_VALUE"""),711.0)</f>
        <v>711</v>
      </c>
      <c r="Q12" s="1" t="str">
        <f>IFERROR(__xludf.DUMMYFUNCTION("""COMPUTED_VALUE"""),"Способы отсылки к тексту. Пересказ, цитата, номера предложений")</f>
        <v>Способы отсылки к тексту. Пересказ, цитата, номера предложений</v>
      </c>
      <c r="R12" s="1">
        <f>IFERROR(__xludf.DUMMYFUNCTION("""COMPUTED_VALUE"""),811.0)</f>
        <v>811</v>
      </c>
      <c r="S1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IFERROR(__xludf.DUMMYFUNCTION("""COMPUTED_VALUE"""),"Гласные в приставках, зависящие от ударения")</f>
        <v>Гласные в приставках, зависящие от ударения</v>
      </c>
      <c r="B13" s="1">
        <f>IFERROR(__xludf.DUMMYFUNCTION("""COMPUTED_VALUE"""),12.0)</f>
        <v>12</v>
      </c>
      <c r="C13" s="1" t="str">
        <f>IFERROR(__xludf.DUMMYFUNCTION("""COMPUTED_VALUE"""),"Пунктуация в предложениях с вводными конструкциями")</f>
        <v>Пунктуация в предложениях с вводными конструкциями</v>
      </c>
      <c r="D13" s="1">
        <f>IFERROR(__xludf.DUMMYFUNCTION("""COMPUTED_VALUE"""),112.0)</f>
        <v>112</v>
      </c>
      <c r="E13" s="1" t="str">
        <f>IFERROR(__xludf.DUMMYFUNCTION("""COMPUTED_VALUE"""),"Распространённые предложения")</f>
        <v>Распространённые предложения</v>
      </c>
      <c r="F13" s="1">
        <f>IFERROR(__xludf.DUMMYFUNCTION("""COMPUTED_VALUE"""),212.0)</f>
        <v>212</v>
      </c>
      <c r="G13" s="1" t="str">
        <f>IFERROR(__xludf.DUMMYFUNCTION("""COMPUTED_VALUE"""),"Ошибки в употреблении имени числительного")</f>
        <v>Ошибки в употреблении имени числительного</v>
      </c>
      <c r="H13" s="1">
        <f>IFERROR(__xludf.DUMMYFUNCTION("""COMPUTED_VALUE"""),312.0)</f>
        <v>312</v>
      </c>
      <c r="I13" s="1" t="str">
        <f>IFERROR(__xludf.DUMMYFUNCTION("""COMPUTED_VALUE"""),"Стилистические пласты лексики. Нейтральная, высокая, книжная, разговорная, просторечная")</f>
        <v>Стилистические пласты лексики. Нейтральная, высокая, книжная, разговорная, просторечная</v>
      </c>
      <c r="J13" s="1">
        <f>IFERROR(__xludf.DUMMYFUNCTION("""COMPUTED_VALUE"""),412.0)</f>
        <v>412</v>
      </c>
      <c r="K13" s="1" t="str">
        <f>IFERROR(__xludf.DUMMYFUNCTION("""COMPUTED_VALUE"""),"Окончание существительных")</f>
        <v>Окончание существительных</v>
      </c>
      <c r="L13" s="1">
        <f>IFERROR(__xludf.DUMMYFUNCTION("""COMPUTED_VALUE"""),512.0)</f>
        <v>512</v>
      </c>
      <c r="M13" s="1" t="str">
        <f>IFERROR(__xludf.DUMMYFUNCTION("""COMPUTED_VALUE"""),"Сокращение производящей основы")</f>
        <v>Сокращение производящей основы</v>
      </c>
      <c r="N13" s="1">
        <f>IFERROR(__xludf.DUMMYFUNCTION("""COMPUTED_VALUE"""),612.0)</f>
        <v>612</v>
      </c>
      <c r="O13" s="1" t="str">
        <f>IFERROR(__xludf.DUMMYFUNCTION("""COMPUTED_VALUE"""),"Ударение в наречиях")</f>
        <v>Ударение в наречиях</v>
      </c>
      <c r="P13" s="1">
        <f>IFERROR(__xludf.DUMMYFUNCTION("""COMPUTED_VALUE"""),712.0)</f>
        <v>712</v>
      </c>
      <c r="Q13" s="1" t="str">
        <f>IFERROR(__xludf.DUMMYFUNCTION("""COMPUTED_VALUE"""),"Авторская позиция")</f>
        <v>Авторская позиция</v>
      </c>
      <c r="R13" s="1">
        <f>IFERROR(__xludf.DUMMYFUNCTION("""COMPUTED_VALUE"""),812.0)</f>
        <v>812</v>
      </c>
      <c r="S13" s="1" t="str">
        <f>IFERROR(__xludf.DUMMYFUNCTION("""COMPUTED_VALUE"""),"Владение различными видами монолога (повествование, описание, рассуждение, сочетание разных видов монолога)")</f>
        <v>Владение различными видами монолога (повествование, описание, рассуждение, сочетание разных видов монолога)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IFERROR(__xludf.DUMMYFUNCTION("""COMPUTED_VALUE"""),"Гласные в приставках ПРО-/ПРА-")</f>
        <v>Гласные в приставках ПРО-/ПРА-</v>
      </c>
      <c r="B14" s="1">
        <f>IFERROR(__xludf.DUMMYFUNCTION("""COMPUTED_VALUE"""),13.0)</f>
        <v>13</v>
      </c>
      <c r="C14" s="1" t="str">
        <f>IFERROR(__xludf.DUMMYFUNCTION("""COMPUTED_VALUE"""),"Пунктуация в предложениях с обособленными определениями")</f>
        <v>Пунктуация в предложениях с обособленными определениями</v>
      </c>
      <c r="D14" s="1">
        <f>IFERROR(__xludf.DUMMYFUNCTION("""COMPUTED_VALUE"""),113.0)</f>
        <v>113</v>
      </c>
      <c r="E14" s="1" t="str">
        <f>IFERROR(__xludf.DUMMYFUNCTION("""COMPUTED_VALUE"""),"Осложнённые предложения")</f>
        <v>Осложнённые предложения</v>
      </c>
      <c r="F14" s="1">
        <f>IFERROR(__xludf.DUMMYFUNCTION("""COMPUTED_VALUE"""),213.0)</f>
        <v>213</v>
      </c>
      <c r="G14" s="1" t="str">
        <f>IFERROR(__xludf.DUMMYFUNCTION("""COMPUTED_VALUE"""),"Ошибочное словообразование")</f>
        <v>Ошибочное словообразование</v>
      </c>
      <c r="H14" s="1">
        <f>IFERROR(__xludf.DUMMYFUNCTION("""COMPUTED_VALUE"""),313.0)</f>
        <v>313</v>
      </c>
      <c r="I14" s="1" t="str">
        <f>IFERROR(__xludf.DUMMYFUNCTION("""COMPUTED_VALUE"""),"Исконно русская лексика")</f>
        <v>Исконно русская лексика</v>
      </c>
      <c r="J14" s="1">
        <f>IFERROR(__xludf.DUMMYFUNCTION("""COMPUTED_VALUE"""),413.0)</f>
        <v>413</v>
      </c>
      <c r="K14" s="1" t="str">
        <f>IFERROR(__xludf.DUMMYFUNCTION("""COMPUTED_VALUE"""),"Глагол")</f>
        <v>Глагол</v>
      </c>
      <c r="L14" s="1">
        <f>IFERROR(__xludf.DUMMYFUNCTION("""COMPUTED_VALUE"""),513.0)</f>
        <v>513</v>
      </c>
      <c r="M14" s="1" t="str">
        <f>IFERROR(__xludf.DUMMYFUNCTION("""COMPUTED_VALUE"""),"Сложение")</f>
        <v>Сложение</v>
      </c>
      <c r="N14" s="1">
        <f>IFERROR(__xludf.DUMMYFUNCTION("""COMPUTED_VALUE"""),613.0)</f>
        <v>613</v>
      </c>
      <c r="O14" s="1" t="str">
        <f>IFERROR(__xludf.DUMMYFUNCTION("""COMPUTED_VALUE"""),"Ударение в глаголах")</f>
        <v>Ударение в глаголах</v>
      </c>
      <c r="P14" s="1">
        <f>IFERROR(__xludf.DUMMYFUNCTION("""COMPUTED_VALUE"""),713.0)</f>
        <v>713</v>
      </c>
      <c r="Q14" s="1" t="str">
        <f>IFERROR(__xludf.DUMMYFUNCTION("""COMPUTED_VALUE"""),"Тезис. Собственная позиция")</f>
        <v>Тезис. Собственная позиция</v>
      </c>
      <c r="R14" s="1">
        <f>IFERROR(__xludf.DUMMYFUNCTION("""COMPUTED_VALUE"""),813.0)</f>
        <v>813</v>
      </c>
      <c r="S14" s="1" t="str">
        <f>IFERROR(__xludf.DUMMYFUNCTION("""COMPUTED_VALUE"""),"Владение различными видами диалога")</f>
        <v>Владение различными видами диалога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IFERROR(__xludf.DUMMYFUNCTION("""COMPUTED_VALUE"""),"Правописание приставок ПРЕ-/ПРИ-")</f>
        <v>Правописание приставок ПРЕ-/ПРИ-</v>
      </c>
      <c r="B15" s="1">
        <f>IFERROR(__xludf.DUMMYFUNCTION("""COMPUTED_VALUE"""),14.0)</f>
        <v>14</v>
      </c>
      <c r="C15" s="1" t="str">
        <f>IFERROR(__xludf.DUMMYFUNCTION("""COMPUTED_VALUE"""),"Пунктуация в предложениях с обособленными приложениями")</f>
        <v>Пунктуация в предложениях с обособленными приложениями</v>
      </c>
      <c r="D15" s="1">
        <f>IFERROR(__xludf.DUMMYFUNCTION("""COMPUTED_VALUE"""),114.0)</f>
        <v>114</v>
      </c>
      <c r="E15" s="1" t="str">
        <f>IFERROR(__xludf.DUMMYFUNCTION("""COMPUTED_VALUE"""),"Дополнение")</f>
        <v>Дополнение</v>
      </c>
      <c r="F15" s="1">
        <f>IFERROR(__xludf.DUMMYFUNCTION("""COMPUTED_VALUE"""),214.0)</f>
        <v>214</v>
      </c>
      <c r="G15" s="1" t="str">
        <f>IFERROR(__xludf.DUMMYFUNCTION("""COMPUTED_VALUE"""),"Нарушение согласования")</f>
        <v>Нарушение согласования</v>
      </c>
      <c r="H15" s="1">
        <f>IFERROR(__xludf.DUMMYFUNCTION("""COMPUTED_VALUE"""),314.0)</f>
        <v>314</v>
      </c>
      <c r="I15" s="1" t="str">
        <f>IFERROR(__xludf.DUMMYFUNCTION("""COMPUTED_VALUE"""),"Заимствованная лексика")</f>
        <v>Заимствованная лексика</v>
      </c>
      <c r="J15" s="1">
        <f>IFERROR(__xludf.DUMMYFUNCTION("""COMPUTED_VALUE"""),414.0)</f>
        <v>414</v>
      </c>
      <c r="K15" s="1" t="str">
        <f>IFERROR(__xludf.DUMMYFUNCTION("""COMPUTED_VALUE"""),"Переходные и непереходные глаголы")</f>
        <v>Переходные и непереходные глаголы</v>
      </c>
      <c r="L15" s="1">
        <f>IFERROR(__xludf.DUMMYFUNCTION("""COMPUTED_VALUE"""),514.0)</f>
        <v>514</v>
      </c>
      <c r="M15" s="1" t="str">
        <f>IFERROR(__xludf.DUMMYFUNCTION("""COMPUTED_VALUE"""),"Приставочный способ образования")</f>
        <v>Приставочный способ образования</v>
      </c>
      <c r="N15" s="1">
        <f>IFERROR(__xludf.DUMMYFUNCTION("""COMPUTED_VALUE"""),614.0)</f>
        <v>614</v>
      </c>
      <c r="O15" s="1" t="str">
        <f>IFERROR(__xludf.DUMMYFUNCTION("""COMPUTED_VALUE"""),"Ударение в причастиях")</f>
        <v>Ударение в причастиях</v>
      </c>
      <c r="P15" s="1">
        <f>IFERROR(__xludf.DUMMYFUNCTION("""COMPUTED_VALUE"""),714.0)</f>
        <v>714</v>
      </c>
      <c r="Q15" s="1" t="str">
        <f>IFERROR(__xludf.DUMMYFUNCTION("""COMPUTED_VALUE"""),"Обоснование (аргументация)")</f>
        <v>Обоснование (аргументация)</v>
      </c>
      <c r="R15" s="1">
        <f>IFERROR(__xludf.DUMMYFUNCTION("""COMPUTED_VALUE"""),814.0)</f>
        <v>814</v>
      </c>
      <c r="S15" s="1" t="str">
        <f>IFERROR(__xludf.DUMMYFUNCTION("""COMPUTED_VALUE"""),"Соблюдение в практике речевого общения основных орфоэпических, лексических норм современного русского языка")</f>
        <v>Соблюдение в практике речевого общения основных орфоэпических, лексических норм современного русского языка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IFERROR(__xludf.DUMMYFUNCTION("""COMPUTED_VALUE"""),"Омонимия приставок ПРЕ-/ПРИ-")</f>
        <v>Омонимия приставок ПРЕ-/ПРИ-</v>
      </c>
      <c r="B16" s="1">
        <f>IFERROR(__xludf.DUMMYFUNCTION("""COMPUTED_VALUE"""),15.0)</f>
        <v>15</v>
      </c>
      <c r="C16" s="1" t="str">
        <f>IFERROR(__xludf.DUMMYFUNCTION("""COMPUTED_VALUE"""),"Пунктуация в предложениях с обособленными обстоятельствами.")</f>
        <v>Пунктуация в предложениях с обособленными обстоятельствами.</v>
      </c>
      <c r="D16" s="1">
        <f>IFERROR(__xludf.DUMMYFUNCTION("""COMPUTED_VALUE"""),115.0)</f>
        <v>115</v>
      </c>
      <c r="E16" s="1" t="str">
        <f>IFERROR(__xludf.DUMMYFUNCTION("""COMPUTED_VALUE"""),"Прямое и косвенное дпоплнение")</f>
        <v>Прямое и косвенное дпоплнение</v>
      </c>
      <c r="F16" s="1">
        <f>IFERROR(__xludf.DUMMYFUNCTION("""COMPUTED_VALUE"""),215.0)</f>
        <v>215</v>
      </c>
      <c r="G16" s="1" t="str">
        <f>IFERROR(__xludf.DUMMYFUNCTION("""COMPUTED_VALUE"""),"Нарушение управления")</f>
        <v>Нарушение управления</v>
      </c>
      <c r="H16" s="1">
        <f>IFERROR(__xludf.DUMMYFUNCTION("""COMPUTED_VALUE"""),315.0)</f>
        <v>315</v>
      </c>
      <c r="I16" s="1" t="str">
        <f>IFERROR(__xludf.DUMMYFUNCTION("""COMPUTED_VALUE"""),"Старославянизмы")</f>
        <v>Старославянизмы</v>
      </c>
      <c r="J16" s="1">
        <f>IFERROR(__xludf.DUMMYFUNCTION("""COMPUTED_VALUE"""),415.0)</f>
        <v>415</v>
      </c>
      <c r="K16" s="1" t="str">
        <f>IFERROR(__xludf.DUMMYFUNCTION("""COMPUTED_VALUE"""),"Возвратные и невозвратные глаголы")</f>
        <v>Возвратные и невозвратные глаголы</v>
      </c>
      <c r="L16" s="1">
        <f>IFERROR(__xludf.DUMMYFUNCTION("""COMPUTED_VALUE"""),515.0)</f>
        <v>515</v>
      </c>
      <c r="M16" s="1" t="str">
        <f>IFERROR(__xludf.DUMMYFUNCTION("""COMPUTED_VALUE"""),"Суффиксальный способ образования")</f>
        <v>Суффиксальный способ образования</v>
      </c>
      <c r="N16" s="1">
        <f>IFERROR(__xludf.DUMMYFUNCTION("""COMPUTED_VALUE"""),615.0)</f>
        <v>615</v>
      </c>
      <c r="O16" s="1" t="str">
        <f>IFERROR(__xludf.DUMMYFUNCTION("""COMPUTED_VALUE"""),"Ударение в деепричастиях")</f>
        <v>Ударение в деепричастиях</v>
      </c>
      <c r="P16" s="1">
        <f>IFERROR(__xludf.DUMMYFUNCTION("""COMPUTED_VALUE"""),715.0)</f>
        <v>715</v>
      </c>
      <c r="Q16" s="1" t="str">
        <f>IFERROR(__xludf.DUMMYFUNCTION("""COMPUTED_VALUE"""),"Заключение")</f>
        <v>Заключение</v>
      </c>
      <c r="R16" s="1">
        <f>IFERROR(__xludf.DUMMYFUNCTION("""COMPUTED_VALUE"""),815.0)</f>
        <v>815</v>
      </c>
      <c r="S16" s="1" t="str">
        <f>IFERROR(__xludf.DUMMYFUNCTION("""COMPUTED_VALUE"""),"Соблюдение в практике речевого общения основных грамматических, стилистических норм современного русского языка")</f>
        <v>Соблюдение в практике речевого общения основных грамматических, стилистических норм современного русского языка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IFERROR(__xludf.DUMMYFUNCTION("""COMPUTED_VALUE"""),"Слова, не зависящие от значения приставок ПРЕ-/ПРИ-, где подобное сочетание букв является частью корня")</f>
        <v>Слова, не зависящие от значения приставок ПРЕ-/ПРИ-, где подобное сочетание букв является частью корня</v>
      </c>
      <c r="B17" s="1">
        <f>IFERROR(__xludf.DUMMYFUNCTION("""COMPUTED_VALUE"""),16.0)</f>
        <v>16</v>
      </c>
      <c r="C17" s="1" t="str">
        <f>IFERROR(__xludf.DUMMYFUNCTION("""COMPUTED_VALUE"""),"Пунктуация в предложениях с обособленными обстоятельствами")</f>
        <v>Пунктуация в предложениях с обособленными обстоятельствами</v>
      </c>
      <c r="D17" s="1">
        <f>IFERROR(__xludf.DUMMYFUNCTION("""COMPUTED_VALUE"""),116.0)</f>
        <v>116</v>
      </c>
      <c r="E17" s="1" t="str">
        <f>IFERROR(__xludf.DUMMYFUNCTION("""COMPUTED_VALUE"""),"Определение")</f>
        <v>Определение</v>
      </c>
      <c r="F17" s="1">
        <f>IFERROR(__xludf.DUMMYFUNCTION("""COMPUTED_VALUE"""),216.0)</f>
        <v>216</v>
      </c>
      <c r="G17" s="1" t="str">
        <f>IFERROR(__xludf.DUMMYFUNCTION("""COMPUTED_VALUE"""),"Нарушение способа выражения сказуемого в отдельных конструкциях")</f>
        <v>Нарушение способа выражения сказуемого в отдельных конструкциях</v>
      </c>
      <c r="H17" s="1">
        <f>IFERROR(__xludf.DUMMYFUNCTION("""COMPUTED_VALUE"""),316.0)</f>
        <v>316</v>
      </c>
      <c r="I17" s="1" t="str">
        <f>IFERROR(__xludf.DUMMYFUNCTION("""COMPUTED_VALUE"""),"Фразеологизм")</f>
        <v>Фразеологизм</v>
      </c>
      <c r="J17" s="1">
        <f>IFERROR(__xludf.DUMMYFUNCTION("""COMPUTED_VALUE"""),416.0)</f>
        <v>416</v>
      </c>
      <c r="K17" s="1" t="str">
        <f>IFERROR(__xludf.DUMMYFUNCTION("""COMPUTED_VALUE"""),"Вид глагола")</f>
        <v>Вид глагола</v>
      </c>
      <c r="L17" s="1">
        <f>IFERROR(__xludf.DUMMYFUNCTION("""COMPUTED_VALUE"""),516.0)</f>
        <v>516</v>
      </c>
      <c r="M17" s="1" t="str">
        <f>IFERROR(__xludf.DUMMYFUNCTION("""COMPUTED_VALUE"""),"Приставочно-суффиксальный способ образования")</f>
        <v>Приставочно-суффиксальный способ образования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IFERROR(__xludf.DUMMYFUNCTION("""COMPUTED_VALUE"""),"Абзац")</f>
        <v>Абзац</v>
      </c>
      <c r="R17" s="1">
        <f>IFERROR(__xludf.DUMMYFUNCTION("""COMPUTED_VALUE"""),816.0)</f>
        <v>816</v>
      </c>
      <c r="S17" s="1" t="str">
        <f>IFERROR(__xludf.DUMMYFUNCTION("""COMPUTED_VALUE"""),"Соблюдение основных правил орфографии и пунктуации в процессе письменного общения")</f>
        <v>Соблюдение основных правил орфографии и пунктуации в процессе письменного общения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IFERROR(__xludf.DUMMYFUNCTION("""COMPUTED_VALUE"""),"Гласные Ы/И после приставок")</f>
        <v>Гласные Ы/И после приставок</v>
      </c>
      <c r="B18" s="1">
        <f>IFERROR(__xludf.DUMMYFUNCTION("""COMPUTED_VALUE"""),17.0)</f>
        <v>17</v>
      </c>
      <c r="C18" s="1" t="str">
        <f>IFERROR(__xludf.DUMMYFUNCTION("""COMPUTED_VALUE"""),"Пунктуация в предложениях с уточняющими членами предложения")</f>
        <v>Пунктуация в предложениях с уточняющими членами предложения</v>
      </c>
      <c r="D18" s="1">
        <f>IFERROR(__xludf.DUMMYFUNCTION("""COMPUTED_VALUE"""),117.0)</f>
        <v>117</v>
      </c>
      <c r="E18" s="1" t="str">
        <f>IFERROR(__xludf.DUMMYFUNCTION("""COMPUTED_VALUE"""),"Согласованное и несогласованное определение")</f>
        <v>Согласованное и несогласованное определение</v>
      </c>
      <c r="F18" s="1">
        <f>IFERROR(__xludf.DUMMYFUNCTION("""COMPUTED_VALUE"""),217.0)</f>
        <v>217</v>
      </c>
      <c r="G18" s="1"/>
      <c r="H18" s="1"/>
      <c r="I18" s="1" t="str">
        <f>IFERROR(__xludf.DUMMYFUNCTION("""COMPUTED_VALUE"""),"Паронимы")</f>
        <v>Паронимы</v>
      </c>
      <c r="J18" s="1">
        <f>IFERROR(__xludf.DUMMYFUNCTION("""COMPUTED_VALUE"""),417.0)</f>
        <v>417</v>
      </c>
      <c r="K18" s="1" t="str">
        <f>IFERROR(__xludf.DUMMYFUNCTION("""COMPUTED_VALUE"""),"Наклонения глагола")</f>
        <v>Наклонения глагола</v>
      </c>
      <c r="L18" s="1">
        <f>IFERROR(__xludf.DUMMYFUNCTION("""COMPUTED_VALUE"""),517.0)</f>
        <v>517</v>
      </c>
      <c r="M18" s="1" t="str">
        <f>IFERROR(__xludf.DUMMYFUNCTION("""COMPUTED_VALUE"""),"Нулевая суффиксация")</f>
        <v>Нулевая суффиксация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IFERROR(__xludf.DUMMYFUNCTION("""COMPUTED_VALUE"""),"Смысловая цельность и последовательность изложения")</f>
        <v>Смысловая цельность и последовательность изложения</v>
      </c>
      <c r="R18" s="1">
        <f>IFERROR(__xludf.DUMMYFUNCTION("""COMPUTED_VALUE"""),817.0)</f>
        <v>817</v>
      </c>
      <c r="S18" s="1" t="str">
        <f>IFERROR(__xludf.DUMMYFUNCTION("""COMPUTED_VALUE"""),"Распознавать уровни и единицы языка в предъявленном тексте и видеть взаимосвязь между ними")</f>
        <v>Распознавать уровни и единицы языка в предъявленном тексте и видеть взаимосвязь между ними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IFERROR(__xludf.DUMMYFUNCTION("""COMPUTED_VALUE"""),"Иностранные приставки")</f>
        <v>Иностранные приставки</v>
      </c>
      <c r="B19" s="1">
        <f>IFERROR(__xludf.DUMMYFUNCTION("""COMPUTED_VALUE"""),18.0)</f>
        <v>18</v>
      </c>
      <c r="C19" s="1" t="str">
        <f>IFERROR(__xludf.DUMMYFUNCTION("""COMPUTED_VALUE"""),"Пунктуация в предложениях с конструкциями, присоединяющимися при помощи КАК")</f>
        <v>Пунктуация в предложениях с конструкциями, присоединяющимися при помощи КАК</v>
      </c>
      <c r="D19" s="1">
        <f>IFERROR(__xludf.DUMMYFUNCTION("""COMPUTED_VALUE"""),118.0)</f>
        <v>118</v>
      </c>
      <c r="E19" s="1" t="str">
        <f>IFERROR(__xludf.DUMMYFUNCTION("""COMPUTED_VALUE"""),"Обстоятельство")</f>
        <v>Обстоятельство</v>
      </c>
      <c r="F19" s="1">
        <f>IFERROR(__xludf.DUMMYFUNCTION("""COMPUTED_VALUE"""),218.0)</f>
        <v>218</v>
      </c>
      <c r="G19" s="1"/>
      <c r="H19" s="1"/>
      <c r="I19" s="1" t="str">
        <f>IFERROR(__xludf.DUMMYFUNCTION("""COMPUTED_VALUE"""),"Метафора. Олицетворение")</f>
        <v>Метафора. Олицетворение</v>
      </c>
      <c r="J19" s="1">
        <f>IFERROR(__xludf.DUMMYFUNCTION("""COMPUTED_VALUE"""),418.0)</f>
        <v>418</v>
      </c>
      <c r="K19" s="1" t="str">
        <f>IFERROR(__xludf.DUMMYFUNCTION("""COMPUTED_VALUE"""),"Время глагола")</f>
        <v>Время глагола</v>
      </c>
      <c r="L19" s="1">
        <f>IFERROR(__xludf.DUMMYFUNCTION("""COMPUTED_VALUE"""),518.0)</f>
        <v>518</v>
      </c>
      <c r="M19" s="1" t="str">
        <f>IFERROR(__xludf.DUMMYFUNCTION("""COMPUTED_VALUE"""),"Постфиксация")</f>
        <v>Постфиксация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IFERROR(__xludf.DUMMYFUNCTION("""COMPUTED_VALUE"""),"Средства связи предложений. Лексические, морфологические, синтаксические")</f>
        <v>Средства связи предложений. Лексические, морфологические, синтаксические</v>
      </c>
      <c r="R19" s="1">
        <f>IFERROR(__xludf.DUMMYFUNCTION("""COMPUTED_VALUE"""),818.0)</f>
        <v>818</v>
      </c>
      <c r="S19" s="1" t="str">
        <f>IFERROR(__xludf.DUMMYFUNCTION("""COMPUTED_VALUE"""),"Анализировать языковые средства, использованные в тексте")</f>
        <v>Анализировать языковые средства, использованные в тексте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IFERROR(__xludf.DUMMYFUNCTION("""COMPUTED_VALUE"""),"Правописание Ъ после приставок")</f>
        <v>Правописание Ъ после приставок</v>
      </c>
      <c r="B20" s="1">
        <f>IFERROR(__xludf.DUMMYFUNCTION("""COMPUTED_VALUE"""),19.0)</f>
        <v>19</v>
      </c>
      <c r="C20" s="1" t="str">
        <f>IFERROR(__xludf.DUMMYFUNCTION("""COMPUTED_VALUE"""),"Знаки препинания в ССП")</f>
        <v>Знаки препинания в ССП</v>
      </c>
      <c r="D20" s="1">
        <f>IFERROR(__xludf.DUMMYFUNCTION("""COMPUTED_VALUE"""),119.0)</f>
        <v>119</v>
      </c>
      <c r="E20" s="1" t="str">
        <f>IFERROR(__xludf.DUMMYFUNCTION("""COMPUTED_VALUE"""),"Разряды обстоятельства по значению")</f>
        <v>Разряды обстоятельства по значению</v>
      </c>
      <c r="F20" s="1">
        <f>IFERROR(__xludf.DUMMYFUNCTION("""COMPUTED_VALUE"""),219.0)</f>
        <v>219</v>
      </c>
      <c r="G20" s="1"/>
      <c r="H20" s="1"/>
      <c r="I20" s="1" t="str">
        <f>IFERROR(__xludf.DUMMYFUNCTION("""COMPUTED_VALUE"""),"Эпитет")</f>
        <v>Эпитет</v>
      </c>
      <c r="J20" s="1">
        <f>IFERROR(__xludf.DUMMYFUNCTION("""COMPUTED_VALUE"""),419.0)</f>
        <v>419</v>
      </c>
      <c r="K20" s="1" t="str">
        <f>IFERROR(__xludf.DUMMYFUNCTION("""COMPUTED_VALUE"""),"Лицо глагола")</f>
        <v>Лицо глагола</v>
      </c>
      <c r="L20" s="1">
        <f>IFERROR(__xludf.DUMMYFUNCTION("""COMPUTED_VALUE"""),519.0)</f>
        <v>519</v>
      </c>
      <c r="M20" s="1" t="str">
        <f>IFERROR(__xludf.DUMMYFUNCTION("""COMPUTED_VALUE"""),"Переход из одной части речи в другую")</f>
        <v>Переход из одной части речи в другую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IFERROR(__xludf.DUMMYFUNCTION("""COMPUTED_VALUE"""),"Учебно-научный, деловой, публицистический стили, разговорная речь, язык художественной литературы")</f>
        <v>Учебно-научный, деловой, публицистический стили, разговорная речь, язык художественной литературы</v>
      </c>
      <c r="R20" s="1">
        <f>IFERROR(__xludf.DUMMYFUNCTION("""COMPUTED_VALUE"""),819.0)</f>
        <v>819</v>
      </c>
      <c r="S20" s="1" t="str">
        <f>IFERROR(__xludf.DUMMYFUNCTION("""COMPUTED_VALUE"""),"Комментирование авторских высказываний на различные темы (в том числе о богатстве и выразительности русского языка)")</f>
        <v>Комментирование авторских высказываний на различные темы (в том числе о богатстве и выразительности русского языка)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IFERROR(__xludf.DUMMYFUNCTION("""COMPUTED_VALUE"""),"Правописание Ь в корнях")</f>
        <v>Правописание Ь в корнях</v>
      </c>
      <c r="B21" s="1">
        <f>IFERROR(__xludf.DUMMYFUNCTION("""COMPUTED_VALUE"""),20.0)</f>
        <v>20</v>
      </c>
      <c r="C21" s="1" t="str">
        <f>IFERROR(__xludf.DUMMYFUNCTION("""COMPUTED_VALUE"""),"Знаки препинания в ССП с ОВЧ")</f>
        <v>Знаки препинания в ССП с ОВЧ</v>
      </c>
      <c r="D21" s="1">
        <f>IFERROR(__xludf.DUMMYFUNCTION("""COMPUTED_VALUE"""),120.0)</f>
        <v>120</v>
      </c>
      <c r="E21" s="1" t="str">
        <f>IFERROR(__xludf.DUMMYFUNCTION("""COMPUTED_VALUE"""),"Обстоятельства места, времени, причины, цели, условия, уступки, образа действия, меры и степени")</f>
        <v>Обстоятельства места, времени, причины, цели, условия, уступки, образа действия, меры и степени</v>
      </c>
      <c r="F21" s="1">
        <f>IFERROR(__xludf.DUMMYFUNCTION("""COMPUTED_VALUE"""),220.0)</f>
        <v>220</v>
      </c>
      <c r="G21" s="1"/>
      <c r="H21" s="1"/>
      <c r="I21" s="1" t="str">
        <f>IFERROR(__xludf.DUMMYFUNCTION("""COMPUTED_VALUE"""),"Сравнение")</f>
        <v>Сравнение</v>
      </c>
      <c r="J21" s="1">
        <f>IFERROR(__xludf.DUMMYFUNCTION("""COMPUTED_VALUE"""),420.0)</f>
        <v>420</v>
      </c>
      <c r="K21" s="1" t="str">
        <f>IFERROR(__xludf.DUMMYFUNCTION("""COMPUTED_VALUE"""),"Спряжение глагола")</f>
        <v>Спряжение глагола</v>
      </c>
      <c r="L21" s="1">
        <f>IFERROR(__xludf.DUMMYFUNCTION("""COMPUTED_VALUE"""),520.0)</f>
        <v>520</v>
      </c>
      <c r="M21" s="1" t="str">
        <f>IFERROR(__xludf.DUMMYFUNCTION("""COMPUTED_VALUE"""),"Словообразовательный разбор слова")</f>
        <v>Словообразовательный разбор слова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IFERROR(__xludf.DUMMYFUNCTION("""COMPUTED_VALUE"""),"Типы речи. Повествование, описание, рассуждение")</f>
        <v>Типы речи. Повествование, описание, рассуждение</v>
      </c>
      <c r="R21" s="1">
        <f>IFERROR(__xludf.DUMMYFUNCTION("""COMPUTED_VALUE"""),820.0)</f>
        <v>820</v>
      </c>
      <c r="S21" s="1" t="str">
        <f>IFERROR(__xludf.DUMMYFUNCTION("""COMPUTED_VALUE"""),"Отмечать отличия языка художественной литературы от других разновидностей современного русского языка")</f>
        <v>Отмечать отличия языка художественной литературы от других разновидностей современного русского языка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IFERROR(__xludf.DUMMYFUNCTION("""COMPUTED_VALUE"""),"Суффиксы -ОНЬК-, -ЕНЬК-")</f>
        <v>Суффиксы -ОНЬК-, -ЕНЬК-</v>
      </c>
      <c r="B22" s="1">
        <f>IFERROR(__xludf.DUMMYFUNCTION("""COMPUTED_VALUE"""),21.0)</f>
        <v>21</v>
      </c>
      <c r="C22" s="1" t="str">
        <f>IFERROR(__xludf.DUMMYFUNCTION("""COMPUTED_VALUE"""),"Знаки препинания в ССП с общей придаточной частью")</f>
        <v>Знаки препинания в ССП с общей придаточной частью</v>
      </c>
      <c r="D22" s="1">
        <f>IFERROR(__xludf.DUMMYFUNCTION("""COMPUTED_VALUE"""),121.0)</f>
        <v>121</v>
      </c>
      <c r="E22" s="1" t="str">
        <f>IFERROR(__xludf.DUMMYFUNCTION("""COMPUTED_VALUE"""),"Приложение")</f>
        <v>Приложение</v>
      </c>
      <c r="F22" s="1">
        <f>IFERROR(__xludf.DUMMYFUNCTION("""COMPUTED_VALUE"""),221.0)</f>
        <v>221</v>
      </c>
      <c r="G22" s="1"/>
      <c r="H22" s="1"/>
      <c r="I22" s="1" t="str">
        <f>IFERROR(__xludf.DUMMYFUNCTION("""COMPUTED_VALUE"""),"Метонимия")</f>
        <v>Метонимия</v>
      </c>
      <c r="J22" s="1">
        <f>IFERROR(__xludf.DUMMYFUNCTION("""COMPUTED_VALUE"""),421.0)</f>
        <v>421</v>
      </c>
      <c r="K22" s="1" t="str">
        <f>IFERROR(__xludf.DUMMYFUNCTION("""COMPUTED_VALUE"""),"Прилагательное")</f>
        <v>Прилагательное</v>
      </c>
      <c r="L22" s="1">
        <f>IFERROR(__xludf.DUMMYFUNCTION("""COMPUTED_VALUE"""),521.0)</f>
        <v>521</v>
      </c>
      <c r="M22" s="1"/>
      <c r="N22" s="1"/>
      <c r="O22" s="1"/>
      <c r="P22" s="1"/>
      <c r="Q22" s="1" t="str">
        <f>IFERROR(__xludf.DUMMYFUNCTION("""COMPUTED_VALUE"""),"Интонация. Темп чтения")</f>
        <v>Интонация. Темп чтения</v>
      </c>
      <c r="R22" s="1">
        <f>IFERROR(__xludf.DUMMYFUNCTION("""COMPUTED_VALUE"""),821.0)</f>
        <v>821</v>
      </c>
      <c r="S22" s="1" t="str">
        <f>IFERROR(__xludf.DUMMYFUNCTION("""COMPUTED_VALUE"""),"Использование синонимические ресурсы языка для более точного выражения мысли и усиления выразительности речи")</f>
        <v>Использование синонимические ресурсы языка для более точного выражения мысли и усиления выразительности речи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IFERROR(__xludf.DUMMYFUNCTION("""COMPUTED_VALUE"""),"Гласные в суффиксах существительного после шипящей буквы")</f>
        <v>Гласные в суффиксах существительного после шипящей буквы</v>
      </c>
      <c r="B23" s="1">
        <f>IFERROR(__xludf.DUMMYFUNCTION("""COMPUTED_VALUE"""),22.0)</f>
        <v>22</v>
      </c>
      <c r="C23" s="1" t="str">
        <f>IFERROR(__xludf.DUMMYFUNCTION("""COMPUTED_VALUE"""),"Знаки препинания в сложном вопросительном предложении")</f>
        <v>Знаки препинания в сложном вопросительном предложении</v>
      </c>
      <c r="D23" s="1">
        <f>IFERROR(__xludf.DUMMYFUNCTION("""COMPUTED_VALUE"""),122.0)</f>
        <v>122</v>
      </c>
      <c r="E23" s="1" t="str">
        <f>IFERROR(__xludf.DUMMYFUNCTION("""COMPUTED_VALUE"""),"Односоставные предложения")</f>
        <v>Односоставные предложения</v>
      </c>
      <c r="F23" s="1">
        <f>IFERROR(__xludf.DUMMYFUNCTION("""COMPUTED_VALUE"""),222.0)</f>
        <v>222</v>
      </c>
      <c r="G23" s="1"/>
      <c r="H23" s="1"/>
      <c r="I23" s="1" t="str">
        <f>IFERROR(__xludf.DUMMYFUNCTION("""COMPUTED_VALUE"""),"Синекдоха")</f>
        <v>Синекдоха</v>
      </c>
      <c r="J23" s="1">
        <f>IFERROR(__xludf.DUMMYFUNCTION("""COMPUTED_VALUE"""),422.0)</f>
        <v>422</v>
      </c>
      <c r="K23" s="1" t="str">
        <f>IFERROR(__xludf.DUMMYFUNCTION("""COMPUTED_VALUE"""),"Разряды прилагательных. Качественные, относительные, притяжательные")</f>
        <v>Разряды прилагательных. Качественные, относительные, притяжательные</v>
      </c>
      <c r="L23" s="1">
        <f>IFERROR(__xludf.DUMMYFUNCTION("""COMPUTED_VALUE"""),522.0)</f>
        <v>522</v>
      </c>
      <c r="M23" s="1"/>
      <c r="N23" s="1"/>
      <c r="O23" s="1"/>
      <c r="P23" s="1"/>
      <c r="Q23" s="1" t="str">
        <f>IFERROR(__xludf.DUMMYFUNCTION("""COMPUTED_VALUE"""),"Речевая ситуация")</f>
        <v>Речевая ситуация</v>
      </c>
      <c r="R23" s="1">
        <f>IFERROR(__xludf.DUMMYFUNCTION("""COMPUTED_VALUE"""),822.0)</f>
        <v>822</v>
      </c>
      <c r="S23" s="1" t="str">
        <f>IFERROR(__xludf.DUMMYFUNCTION("""COMPUTED_VALUE"""),"Иметь представление об историческом развитии русского языка и истории русского языкознания")</f>
        <v>Иметь представление об историческом развитии русского языка и истории русского языкознания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IFERROR(__xludf.DUMMYFUNCTION("""COMPUTED_VALUE"""),"Суффиксы отымённых и отглагольных существительных -ОВ-/-ЁВ-")</f>
        <v>Суффиксы отымённых и отглагольных существительных -ОВ-/-ЁВ-</v>
      </c>
      <c r="B24" s="1">
        <f>IFERROR(__xludf.DUMMYFUNCTION("""COMPUTED_VALUE"""),23.0)</f>
        <v>23</v>
      </c>
      <c r="C24" s="1" t="str">
        <f>IFERROR(__xludf.DUMMYFUNCTION("""COMPUTED_VALUE"""),"Знаки препинания в сложном восклицательном предложении")</f>
        <v>Знаки препинания в сложном восклицательном предложении</v>
      </c>
      <c r="D24" s="1">
        <f>IFERROR(__xludf.DUMMYFUNCTION("""COMPUTED_VALUE"""),123.0)</f>
        <v>123</v>
      </c>
      <c r="E24" s="1" t="str">
        <f>IFERROR(__xludf.DUMMYFUNCTION("""COMPUTED_VALUE"""),"Назывные предложения")</f>
        <v>Назывные предложения</v>
      </c>
      <c r="F24" s="1">
        <f>IFERROR(__xludf.DUMMYFUNCTION("""COMPUTED_VALUE"""),223.0)</f>
        <v>223</v>
      </c>
      <c r="G24" s="1"/>
      <c r="H24" s="1"/>
      <c r="I24" s="1" t="str">
        <f>IFERROR(__xludf.DUMMYFUNCTION("""COMPUTED_VALUE"""),"Гипербола")</f>
        <v>Гипербола</v>
      </c>
      <c r="J24" s="1">
        <f>IFERROR(__xludf.DUMMYFUNCTION("""COMPUTED_VALUE"""),423.0)</f>
        <v>423</v>
      </c>
      <c r="K24" s="1" t="str">
        <f>IFERROR(__xludf.DUMMYFUNCTION("""COMPUTED_VALUE"""),"Склонение прилагательных")</f>
        <v>Склонение прилагательных</v>
      </c>
      <c r="L24" s="1">
        <f>IFERROR(__xludf.DUMMYFUNCTION("""COMPUTED_VALUE"""),523.0)</f>
        <v>523</v>
      </c>
      <c r="M24" s="1"/>
      <c r="N24" s="1"/>
      <c r="O24" s="1"/>
      <c r="P24" s="1"/>
      <c r="Q24" s="1" t="str">
        <f>IFERROR(__xludf.DUMMYFUNCTION("""COMPUTED_VALUE"""),"Монологическая и даилогическая речь")</f>
        <v>Монологическая и даилогическая речь</v>
      </c>
      <c r="R24" s="1">
        <f>IFERROR(__xludf.DUMMYFUNCTION("""COMPUTED_VALUE"""),823.0)</f>
        <v>823</v>
      </c>
      <c r="S24" s="1" t="str">
        <f>IFERROR(__xludf.DUMMYFUNCTION("""COMPUTED_VALUE"""),"Выражать согласие или несогласие с мнением собеседника в соответствии с правилами ведения диалогической речи")</f>
        <v>Выражать согласие или несогласие с мнением собеседника в соответствии с правилами ведения диалогической речи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IFERROR(__xludf.DUMMYFUNCTION("""COMPUTED_VALUE"""),"Суффиксы существительных -ИНК-")</f>
        <v>Суффиксы существительных -ИНК-</v>
      </c>
      <c r="B25" s="1">
        <f>IFERROR(__xludf.DUMMYFUNCTION("""COMPUTED_VALUE"""),24.0)</f>
        <v>24</v>
      </c>
      <c r="C25" s="1" t="str">
        <f>IFERROR(__xludf.DUMMYFUNCTION("""COMPUTED_VALUE"""),"Знаки препинания в сложном безличном предложении")</f>
        <v>Знаки препинания в сложном безличном предложении</v>
      </c>
      <c r="D25" s="1">
        <f>IFERROR(__xludf.DUMMYFUNCTION("""COMPUTED_VALUE"""),124.0)</f>
        <v>124</v>
      </c>
      <c r="E25" s="1" t="str">
        <f>IFERROR(__xludf.DUMMYFUNCTION("""COMPUTED_VALUE"""),"Определённо-личные предложения")</f>
        <v>Определённо-личные предложения</v>
      </c>
      <c r="F25" s="1">
        <f>IFERROR(__xludf.DUMMYFUNCTION("""COMPUTED_VALUE"""),224.0)</f>
        <v>224</v>
      </c>
      <c r="G25" s="1"/>
      <c r="H25" s="1"/>
      <c r="I25" s="1" t="str">
        <f>IFERROR(__xludf.DUMMYFUNCTION("""COMPUTED_VALUE"""),"Литота")</f>
        <v>Литота</v>
      </c>
      <c r="J25" s="1">
        <f>IFERROR(__xludf.DUMMYFUNCTION("""COMPUTED_VALUE"""),424.0)</f>
        <v>424</v>
      </c>
      <c r="K25" s="1" t="str">
        <f>IFERROR(__xludf.DUMMYFUNCTION("""COMPUTED_VALUE"""),"Степени сравнения прилагательных")</f>
        <v>Степени сравнения прилагательных</v>
      </c>
      <c r="L25" s="1">
        <f>IFERROR(__xludf.DUMMYFUNCTION("""COMPUTED_VALUE"""),524.0)</f>
        <v>524</v>
      </c>
      <c r="M25" s="1"/>
      <c r="N25" s="1"/>
      <c r="O25" s="1"/>
      <c r="P25" s="1"/>
      <c r="Q25" s="1" t="str">
        <f>IFERROR(__xludf.DUMMYFUNCTION("""COMPUTED_VALUE"""),"Виды чтения. Использование различных видов чтения в зависимости от коммуникативной задачи и характера текста")</f>
        <v>Виды чтения. Использование различных видов чтения в зависимости от коммуникативной задачи и характера текста</v>
      </c>
      <c r="R25" s="1">
        <f>IFERROR(__xludf.DUMMYFUNCTION("""COMPUTED_VALUE"""),824.0)</f>
        <v>824</v>
      </c>
      <c r="S25" s="1" t="str">
        <f>IFERROR(__xludf.DUMMYFUNCTION("""COMPUTED_VALUE"""),"Дифференцировать главную и второстепенную информацию информацию в прослушанном тексте")</f>
        <v>Дифференцировать главную и второстепенную информацию информацию в прослушанном тексте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IFERROR(__xludf.DUMMYFUNCTION("""COMPUTED_VALUE"""),"Суффиксы существительных -ОК-")</f>
        <v>Суффиксы существительных -ОК-</v>
      </c>
      <c r="B26" s="1">
        <f>IFERROR(__xludf.DUMMYFUNCTION("""COMPUTED_VALUE"""),25.0)</f>
        <v>25</v>
      </c>
      <c r="C26" s="1" t="str">
        <f>IFERROR(__xludf.DUMMYFUNCTION("""COMPUTED_VALUE"""),"Знаки препинания в сложном назывном предложении")</f>
        <v>Знаки препинания в сложном назывном предложении</v>
      </c>
      <c r="D26" s="1">
        <f>IFERROR(__xludf.DUMMYFUNCTION("""COMPUTED_VALUE"""),125.0)</f>
        <v>125</v>
      </c>
      <c r="E26" s="1" t="str">
        <f>IFERROR(__xludf.DUMMYFUNCTION("""COMPUTED_VALUE"""),"Обобщённо-личные предложения")</f>
        <v>Обобщённо-личные предложения</v>
      </c>
      <c r="F26" s="1">
        <f>IFERROR(__xludf.DUMMYFUNCTION("""COMPUTED_VALUE"""),225.0)</f>
        <v>225</v>
      </c>
      <c r="G26" s="1"/>
      <c r="H26" s="1"/>
      <c r="I26" s="1" t="str">
        <f>IFERROR(__xludf.DUMMYFUNCTION("""COMPUTED_VALUE"""),"Ирония. Сарказм")</f>
        <v>Ирония. Сарказм</v>
      </c>
      <c r="J26" s="1">
        <f>IFERROR(__xludf.DUMMYFUNCTION("""COMPUTED_VALUE"""),425.0)</f>
        <v>425</v>
      </c>
      <c r="K26" s="1" t="str">
        <f>IFERROR(__xludf.DUMMYFUNCTION("""COMPUTED_VALUE"""),"Полные и краткие прилагательные")</f>
        <v>Полные и краткие прилагательные</v>
      </c>
      <c r="L26" s="1">
        <f>IFERROR(__xludf.DUMMYFUNCTION("""COMPUTED_VALUE"""),525.0)</f>
        <v>525</v>
      </c>
      <c r="M26" s="1"/>
      <c r="N26" s="1"/>
      <c r="O26" s="1"/>
      <c r="P26" s="1"/>
      <c r="Q26" s="1" t="str">
        <f>IFERROR(__xludf.DUMMYFUNCTION("""COMPUTED_VALUE"""),"Аудирование")</f>
        <v>Аудирование</v>
      </c>
      <c r="R26" s="1">
        <f>IFERROR(__xludf.DUMMYFUNCTION("""COMPUTED_VALUE"""),825.0)</f>
        <v>825</v>
      </c>
      <c r="S26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IFERROR(__xludf.DUMMYFUNCTION("""COMPUTED_VALUE"""),"Суффиксы существительных -ЕК-/-ИК-")</f>
        <v>Суффиксы существительных -ЕК-/-ИК-</v>
      </c>
      <c r="B27" s="1">
        <f>IFERROR(__xludf.DUMMYFUNCTION("""COMPUTED_VALUE"""),26.0)</f>
        <v>26</v>
      </c>
      <c r="C27" s="1" t="str">
        <f>IFERROR(__xludf.DUMMYFUNCTION("""COMPUTED_VALUE"""),"Знаки препинания в СПП")</f>
        <v>Знаки препинания в СПП</v>
      </c>
      <c r="D27" s="1">
        <f>IFERROR(__xludf.DUMMYFUNCTION("""COMPUTED_VALUE"""),126.0)</f>
        <v>126</v>
      </c>
      <c r="E27" s="1" t="str">
        <f>IFERROR(__xludf.DUMMYFUNCTION("""COMPUTED_VALUE"""),"Неопределённо личные предложения")</f>
        <v>Неопределённо личные предложения</v>
      </c>
      <c r="F27" s="1">
        <f>IFERROR(__xludf.DUMMYFUNCTION("""COMPUTED_VALUE"""),226.0)</f>
        <v>226</v>
      </c>
      <c r="G27" s="1"/>
      <c r="H27" s="1"/>
      <c r="I27" s="1" t="str">
        <f>IFERROR(__xludf.DUMMYFUNCTION("""COMPUTED_VALUE"""),"Перифраз")</f>
        <v>Перифраз</v>
      </c>
      <c r="J27" s="1">
        <f>IFERROR(__xludf.DUMMYFUNCTION("""COMPUTED_VALUE"""),426.0)</f>
        <v>426</v>
      </c>
      <c r="K27" s="1" t="str">
        <f>IFERROR(__xludf.DUMMYFUNCTION("""COMPUTED_VALUE"""),"Числительное")</f>
        <v>Числительное</v>
      </c>
      <c r="L27" s="1">
        <f>IFERROR(__xludf.DUMMYFUNCTION("""COMPUTED_VALUE"""),526.0)</f>
        <v>526</v>
      </c>
      <c r="M27" s="1"/>
      <c r="N27" s="1"/>
      <c r="O27" s="1"/>
      <c r="P27" s="1"/>
      <c r="Q27" s="1" t="str">
        <f>IFERROR(__xludf.DUMMYFUNCTION("""COMPUTED_VALUE"""),"Автор, герой, рассказчик")</f>
        <v>Автор, герой, рассказчик</v>
      </c>
      <c r="R27" s="1">
        <f>IFERROR(__xludf.DUMMYFUNCTION("""COMPUTED_VALUE"""),826.0)</f>
        <v>826</v>
      </c>
      <c r="S27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IFERROR(__xludf.DUMMYFUNCTION("""COMPUTED_VALUE"""),"Суффиксы существительных -ЕЦ-/-ИЦ-")</f>
        <v>Суффиксы существительных -ЕЦ-/-ИЦ-</v>
      </c>
      <c r="B28" s="1">
        <f>IFERROR(__xludf.DUMMYFUNCTION("""COMPUTED_VALUE"""),27.0)</f>
        <v>27</v>
      </c>
      <c r="C28" s="1" t="str">
        <f>IFERROR(__xludf.DUMMYFUNCTION("""COMPUTED_VALUE"""),"Знаки препинания в СПП с несколькими придаточными")</f>
        <v>Знаки препинания в СПП с несколькими придаточными</v>
      </c>
      <c r="D28" s="1">
        <f>IFERROR(__xludf.DUMMYFUNCTION("""COMPUTED_VALUE"""),127.0)</f>
        <v>127</v>
      </c>
      <c r="E28" s="1" t="str">
        <f>IFERROR(__xludf.DUMMYFUNCTION("""COMPUTED_VALUE"""),"Безличные предложения")</f>
        <v>Безличные предложения</v>
      </c>
      <c r="F28" s="1">
        <f>IFERROR(__xludf.DUMMYFUNCTION("""COMPUTED_VALUE"""),227.0)</f>
        <v>227</v>
      </c>
      <c r="G28" s="1"/>
      <c r="H28" s="1"/>
      <c r="I28" s="1" t="str">
        <f>IFERROR(__xludf.DUMMYFUNCTION("""COMPUTED_VALUE"""),"Употребление слова в несвойственном ему значении")</f>
        <v>Употребление слова в несвойственном ему значении</v>
      </c>
      <c r="J28" s="1">
        <f>IFERROR(__xludf.DUMMYFUNCTION("""COMPUTED_VALUE"""),427.0)</f>
        <v>427</v>
      </c>
      <c r="K28" s="1" t="str">
        <f>IFERROR(__xludf.DUMMYFUNCTION("""COMPUTED_VALUE"""),"Разряды числительных. Целые, дробные, собирательные, порядковые. Простые, составные")</f>
        <v>Разряды числительных. Целые, дробные, собирательные, порядковые. Простые, составные</v>
      </c>
      <c r="L28" s="1">
        <f>IFERROR(__xludf.DUMMYFUNCTION("""COMPUTED_VALUE"""),527.0)</f>
        <v>527</v>
      </c>
      <c r="M28" s="1"/>
      <c r="N28" s="1"/>
      <c r="O28" s="1"/>
      <c r="P28" s="1"/>
      <c r="Q28" s="1" t="str">
        <f>IFERROR(__xludf.DUMMYFUNCTION("""COMPUTED_VALUE"""),"Соблюдение фактологической точности")</f>
        <v>Соблюдение фактологической точности</v>
      </c>
      <c r="R28" s="1">
        <f>IFERROR(__xludf.DUMMYFUNCTION("""COMPUTED_VALUE"""),827.0)</f>
        <v>827</v>
      </c>
      <c r="S28" s="1" t="str">
        <f>IFERROR(__xludf.DUMMYFUNCTION("""COMPUTED_VALUE"""),"Оценивать стилистические ресурсы языка")</f>
        <v>Оценивать стилистические ресурсы языка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IFERROR(__xludf.DUMMYFUNCTION("""COMPUTED_VALUE"""),"Суффикс существительного -К- в сочетаниях -ИНК-/-ЕНК-")</f>
        <v>Суффикс существительного -К- в сочетаниях -ИНК-/-ЕНК-</v>
      </c>
      <c r="B29" s="1">
        <f>IFERROR(__xludf.DUMMYFUNCTION("""COMPUTED_VALUE"""),28.0)</f>
        <v>28</v>
      </c>
      <c r="C29" s="1" t="str">
        <f>IFERROR(__xludf.DUMMYFUNCTION("""COMPUTED_VALUE"""),"Знаки препинания в СПП с несколькими придаточными, связанными повторяющимся союзом")</f>
        <v>Знаки препинания в СПП с несколькими придаточными, связанными повторяющимся союзом</v>
      </c>
      <c r="D29" s="1">
        <f>IFERROR(__xludf.DUMMYFUNCTION("""COMPUTED_VALUE"""),128.0)</f>
        <v>128</v>
      </c>
      <c r="E29" s="1" t="str">
        <f>IFERROR(__xludf.DUMMYFUNCTION("""COMPUTED_VALUE"""),"Неполные предложения. Элипсис")</f>
        <v>Неполные предложения. Элипсис</v>
      </c>
      <c r="F29" s="1">
        <f>IFERROR(__xludf.DUMMYFUNCTION("""COMPUTED_VALUE"""),228.0)</f>
        <v>228</v>
      </c>
      <c r="G29" s="1"/>
      <c r="H29" s="1"/>
      <c r="I29" s="1" t="str">
        <f>IFERROR(__xludf.DUMMYFUNCTION("""COMPUTED_VALUE"""),"Неразличение оттенков значения, вносимых в слово приставкой и суффиксом")</f>
        <v>Неразличение оттенков значения, вносимых в слово приставкой и суффиксом</v>
      </c>
      <c r="J29" s="1">
        <f>IFERROR(__xludf.DUMMYFUNCTION("""COMPUTED_VALUE"""),428.0)</f>
        <v>428</v>
      </c>
      <c r="K29" s="1" t="str">
        <f>IFERROR(__xludf.DUMMYFUNCTION("""COMPUTED_VALUE"""),"Склонение числительных")</f>
        <v>Склонение числительных</v>
      </c>
      <c r="L29" s="1">
        <f>IFERROR(__xludf.DUMMYFUNCTION("""COMPUTED_VALUE"""),528.0)</f>
        <v>528</v>
      </c>
      <c r="M29" s="1"/>
      <c r="N29" s="1"/>
      <c r="O29" s="1"/>
      <c r="P29" s="1"/>
      <c r="Q29" s="1"/>
      <c r="R29" s="1"/>
      <c r="S29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IFERROR(__xludf.DUMMYFUNCTION("""COMPUTED_VALUE"""),"Суффиксы существительных -ИНСТВ-/-ЕНСТВ-")</f>
        <v>Суффиксы существительных -ИНСТВ-/-ЕНСТВ-</v>
      </c>
      <c r="B30" s="1">
        <f>IFERROR(__xludf.DUMMYFUNCTION("""COMPUTED_VALUE"""),29.0)</f>
        <v>29</v>
      </c>
      <c r="C30" s="1" t="str">
        <f>IFERROR(__xludf.DUMMYFUNCTION("""COMPUTED_VALUE"""),"Знаки препинания в СПП с однородными придаточными")</f>
        <v>Знаки препинания в СПП с однородными придаточными</v>
      </c>
      <c r="D30" s="1">
        <f>IFERROR(__xludf.DUMMYFUNCTION("""COMPUTED_VALUE"""),129.0)</f>
        <v>129</v>
      </c>
      <c r="E30" s="1" t="str">
        <f>IFERROR(__xludf.DUMMYFUNCTION("""COMPUTED_VALUE"""),"Однородные и неоднородные члены")</f>
        <v>Однородные и неоднородные члены</v>
      </c>
      <c r="F30" s="1">
        <f>IFERROR(__xludf.DUMMYFUNCTION("""COMPUTED_VALUE"""),229.0)</f>
        <v>229</v>
      </c>
      <c r="G30" s="1"/>
      <c r="H30" s="1"/>
      <c r="I30" s="1" t="str">
        <f>IFERROR(__xludf.DUMMYFUNCTION("""COMPUTED_VALUE"""),"Неразличение синонимичных слов")</f>
        <v>Неразличение синонимичных слов</v>
      </c>
      <c r="J30" s="1">
        <f>IFERROR(__xludf.DUMMYFUNCTION("""COMPUTED_VALUE"""),429.0)</f>
        <v>429</v>
      </c>
      <c r="K30" s="1" t="str">
        <f>IFERROR(__xludf.DUMMYFUNCTION("""COMPUTED_VALUE"""),"Местоимение")</f>
        <v>Местоимение</v>
      </c>
      <c r="L30" s="1">
        <f>IFERROR(__xludf.DUMMYFUNCTION("""COMPUTED_VALUE"""),529.0)</f>
        <v>529</v>
      </c>
      <c r="M30" s="1"/>
      <c r="N30" s="1"/>
      <c r="O30" s="1"/>
      <c r="P30" s="1"/>
      <c r="Q30" s="1"/>
      <c r="R30" s="1"/>
      <c r="S30" s="1" t="str">
        <f>IFERROR(__xludf.DUMMYFUNCTION("""COMPUTED_VALUE"""),"Владеть умениями информационно перерабатывать прочитанные и прослушанные тексты и представлять их в виде тезисов")</f>
        <v>Владеть умениями информационно перерабатывать прочитанные и прослушанные тексты и представлять их в виде тезисов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IFERROR(__xludf.DUMMYFUNCTION("""COMPUTED_VALUE"""),"Суффиксы существительных -УШК-/-ЫШК-/-ИШК-")</f>
        <v>Суффиксы существительных -УШК-/-ЫШК-/-ИШК-</v>
      </c>
      <c r="B31" s="1">
        <f>IFERROR(__xludf.DUMMYFUNCTION("""COMPUTED_VALUE"""),30.0)</f>
        <v>30</v>
      </c>
      <c r="C31" s="1" t="str">
        <f>IFERROR(__xludf.DUMMYFUNCTION("""COMPUTED_VALUE"""),"Запятая на стыке двух союзов")</f>
        <v>Запятая на стыке двух союзов</v>
      </c>
      <c r="D31" s="1">
        <f>IFERROR(__xludf.DUMMYFUNCTION("""COMPUTED_VALUE"""),130.0)</f>
        <v>130</v>
      </c>
      <c r="E31" s="1" t="str">
        <f>IFERROR(__xludf.DUMMYFUNCTION("""COMPUTED_VALUE"""),"Сложное предложение")</f>
        <v>Сложное предложение</v>
      </c>
      <c r="F31" s="1">
        <f>IFERROR(__xludf.DUMMYFUNCTION("""COMPUTED_VALUE"""),230.0)</f>
        <v>230</v>
      </c>
      <c r="G31" s="1"/>
      <c r="H31" s="1"/>
      <c r="I31" s="1" t="str">
        <f>IFERROR(__xludf.DUMMYFUNCTION("""COMPUTED_VALUE"""),"Нарушение лексической сочетаемости")</f>
        <v>Нарушение лексической сочетаемости</v>
      </c>
      <c r="J31" s="1">
        <f>IFERROR(__xludf.DUMMYFUNCTION("""COMPUTED_VALUE"""),430.0)</f>
        <v>430</v>
      </c>
      <c r="K31" s="1" t="str">
        <f>IFERROR(__xludf.DUMMYFUNCTION("""COMPUTED_VALUE"""),"Разряды местоимения. Личные, возвратное, притяжательные, указательные, определительные, относительно-вопросительные, отрицательные, неопределенные")</f>
        <v>Разряды местоимения. Личные, возвратное, притяжательные, указательные, определительные, относительно-вопросительные, отрицательные, неопределенные</v>
      </c>
      <c r="L31" s="1">
        <f>IFERROR(__xludf.DUMMYFUNCTION("""COMPUTED_VALUE"""),530.0)</f>
        <v>530</v>
      </c>
      <c r="M31" s="1"/>
      <c r="N31" s="1"/>
      <c r="O31" s="1"/>
      <c r="P31" s="1"/>
      <c r="Q31" s="1"/>
      <c r="R31" s="1"/>
      <c r="S31" s="1" t="str">
        <f>IFERROR(__xludf.DUMMYFUNCTION("""COMPUTED_VALUE"""),"Соблюдать культуру чтения, говорения, аудирования и письма")</f>
        <v>Соблюдать культуру чтения, говорения, аудирования и письма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IFERROR(__xludf.DUMMYFUNCTION("""COMPUTED_VALUE"""),"Суффиксы существительных -ИН-/-ИЗН-")</f>
        <v>Суффиксы существительных -ИН-/-ИЗН-</v>
      </c>
      <c r="B32" s="1">
        <f>IFERROR(__xludf.DUMMYFUNCTION("""COMPUTED_VALUE"""),31.0)</f>
        <v>31</v>
      </c>
      <c r="C32" s="1" t="str">
        <f>IFERROR(__xludf.DUMMYFUNCTION("""COMPUTED_VALUE"""),"Знаки препинания в предложениях с разными видами связи")</f>
        <v>Знаки препинания в предложениях с разными видами связи</v>
      </c>
      <c r="D32" s="1">
        <f>IFERROR(__xludf.DUMMYFUNCTION("""COMPUTED_VALUE"""),131.0)</f>
        <v>131</v>
      </c>
      <c r="E32" s="1" t="str">
        <f>IFERROR(__xludf.DUMMYFUNCTION("""COMPUTED_VALUE"""),"Типы придаточных предложений")</f>
        <v>Типы придаточных предложений</v>
      </c>
      <c r="F32" s="1">
        <f>IFERROR(__xludf.DUMMYFUNCTION("""COMPUTED_VALUE"""),231.0)</f>
        <v>231</v>
      </c>
      <c r="G32" s="1"/>
      <c r="H32" s="1"/>
      <c r="I32" s="1" t="str">
        <f>IFERROR(__xludf.DUMMYFUNCTION("""COMPUTED_VALUE"""),"Употребление лишних слов. Плеоназм. Речевая недостаточность")</f>
        <v>Употребление лишних слов. Плеоназм. Речевая недостаточность</v>
      </c>
      <c r="J32" s="1">
        <f>IFERROR(__xludf.DUMMYFUNCTION("""COMPUTED_VALUE"""),431.0)</f>
        <v>431</v>
      </c>
      <c r="K32" s="1" t="str">
        <f>IFERROR(__xludf.DUMMYFUNCTION("""COMPUTED_VALUE"""),"Лицо, род, число, склонение местоимения")</f>
        <v>Лицо, род, число, склонение местоимения</v>
      </c>
      <c r="L32" s="1">
        <f>IFERROR(__xludf.DUMMYFUNCTION("""COMPUTED_VALUE"""),531.0)</f>
        <v>531</v>
      </c>
      <c r="M32" s="1"/>
      <c r="N32" s="1"/>
      <c r="O32" s="1"/>
      <c r="P32" s="1"/>
      <c r="Q32" s="1"/>
      <c r="R32" s="1"/>
      <c r="S32" s="1" t="str">
        <f>IFERROR(__xludf.DUMMYFUNCTION("""COMPUTED_VALUE"""),"Соблюдать культуру научного и делового общения в устной и письменной форме")</f>
        <v>Соблюдать культуру научного и делового общения в устной и письменной форме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IFERROR(__xludf.DUMMYFUNCTION("""COMPUTED_VALUE"""),"Суффиксы существительных -ЧИК-/ЩИК-")</f>
        <v>Суффиксы существительных -ЧИК-/ЩИК-</v>
      </c>
      <c r="B33" s="1">
        <f>IFERROR(__xludf.DUMMYFUNCTION("""COMPUTED_VALUE"""),32.0)</f>
        <v>32</v>
      </c>
      <c r="C33" s="1" t="str">
        <f>IFERROR(__xludf.DUMMYFUNCTION("""COMPUTED_VALUE"""),"Запятая и точка с запятой в бессоюзном сложном предложении")</f>
        <v>Запятая и точка с запятой в бессоюзном сложном предложении</v>
      </c>
      <c r="D33" s="1">
        <f>IFERROR(__xludf.DUMMYFUNCTION("""COMPUTED_VALUE"""),132.0)</f>
        <v>132</v>
      </c>
      <c r="E33" s="1" t="str">
        <f>IFERROR(__xludf.DUMMYFUNCTION("""COMPUTED_VALUE"""),"Придаточные определительные")</f>
        <v>Придаточные определительные</v>
      </c>
      <c r="F33" s="1">
        <f>IFERROR(__xludf.DUMMYFUNCTION("""COMPUTED_VALUE"""),232.0)</f>
        <v>232</v>
      </c>
      <c r="G33" s="1"/>
      <c r="H33" s="1"/>
      <c r="I33" s="1" t="str">
        <f>IFERROR(__xludf.DUMMYFUNCTION("""COMPUTED_VALUE"""),"Употребление однокоренных слов в близком контексте (тавтология)")</f>
        <v>Употребление однокоренных слов в близком контексте (тавтология)</v>
      </c>
      <c r="J33" s="1">
        <f>IFERROR(__xludf.DUMMYFUNCTION("""COMPUTED_VALUE"""),432.0)</f>
        <v>432</v>
      </c>
      <c r="K33" s="1" t="str">
        <f>IFERROR(__xludf.DUMMYFUNCTION("""COMPUTED_VALUE"""),"Наречие")</f>
        <v>Наречие</v>
      </c>
      <c r="L33" s="1">
        <f>IFERROR(__xludf.DUMMYFUNCTION("""COMPUTED_VALUE"""),532.0)</f>
        <v>532</v>
      </c>
      <c r="M33" s="1"/>
      <c r="N33" s="1"/>
      <c r="O33" s="1"/>
      <c r="P33" s="1"/>
      <c r="Q33" s="1"/>
      <c r="R33" s="1"/>
      <c r="S33" s="1" t="str">
        <f>IFERROR(__xludf.DUMMYFUNCTION("""COMPUTED_VALUE"""),"Соблюдать нормы речевого поведения в разговорной речи")</f>
        <v>Соблюдать нормы речевого поведения в разговорной речи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IFERROR(__xludf.DUMMYFUNCTION("""COMPUTED_VALUE"""),"Суффиксы существительных -ИЧ+К-/-ЕЧК-")</f>
        <v>Суффиксы существительных -ИЧ+К-/-ЕЧК-</v>
      </c>
      <c r="B34" s="1">
        <f>IFERROR(__xludf.DUMMYFUNCTION("""COMPUTED_VALUE"""),33.0)</f>
        <v>33</v>
      </c>
      <c r="C34" s="1" t="str">
        <f>IFERROR(__xludf.DUMMYFUNCTION("""COMPUTED_VALUE"""),"Тире между подлежащим и сказуемым")</f>
        <v>Тире между подлежащим и сказуемым</v>
      </c>
      <c r="D34" s="1">
        <f>IFERROR(__xludf.DUMMYFUNCTION("""COMPUTED_VALUE"""),133.0)</f>
        <v>133</v>
      </c>
      <c r="E34" s="1" t="str">
        <f>IFERROR(__xludf.DUMMYFUNCTION("""COMPUTED_VALUE"""),"Придаточные изъяснительные")</f>
        <v>Придаточные изъяснительные</v>
      </c>
      <c r="F34" s="1">
        <f>IFERROR(__xludf.DUMMYFUNCTION("""COMPUTED_VALUE"""),233.0)</f>
        <v>233</v>
      </c>
      <c r="G34" s="1"/>
      <c r="H34" s="1"/>
      <c r="I34" s="1" t="str">
        <f>IFERROR(__xludf.DUMMYFUNCTION("""COMPUTED_VALUE"""),"Неоправданное повторение слова")</f>
        <v>Неоправданное повторение слова</v>
      </c>
      <c r="J34" s="1">
        <f>IFERROR(__xludf.DUMMYFUNCTION("""COMPUTED_VALUE"""),433.0)</f>
        <v>433</v>
      </c>
      <c r="K34" s="1" t="str">
        <f>IFERROR(__xludf.DUMMYFUNCTION("""COMPUTED_VALUE"""),"Разряды наречий")</f>
        <v>Разряды наречий</v>
      </c>
      <c r="L34" s="1">
        <f>IFERROR(__xludf.DUMMYFUNCTION("""COMPUTED_VALUE"""),533.0)</f>
        <v>533</v>
      </c>
      <c r="M34" s="1"/>
      <c r="N34" s="1"/>
      <c r="O34" s="1"/>
      <c r="P34" s="1"/>
      <c r="Q34" s="1"/>
      <c r="R34" s="1"/>
      <c r="S34" s="1" t="str">
        <f>IFERROR(__xludf.DUMMYFUNCTION("""COMPUTED_VALUE"""),"Осуществлять речевой самоконтроль")</f>
        <v>Осуществлять речевой самоконтроль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IFERROR(__xludf.DUMMYFUNCTION("""COMPUTED_VALUE"""),"Суффиксы существительных -ОТН-/-ОТ-/-ОВН-/-ОСТЬ-")</f>
        <v>Суффиксы существительных -ОТН-/-ОТ-/-ОВН-/-ОСТЬ-</v>
      </c>
      <c r="B35" s="1">
        <f>IFERROR(__xludf.DUMMYFUNCTION("""COMPUTED_VALUE"""),34.0)</f>
        <v>34</v>
      </c>
      <c r="C35" s="1" t="str">
        <f>IFERROR(__xludf.DUMMYFUNCTION("""COMPUTED_VALUE"""),"Тире в неполном предложении")</f>
        <v>Тире в неполном предложении</v>
      </c>
      <c r="D35" s="1">
        <f>IFERROR(__xludf.DUMMYFUNCTION("""COMPUTED_VALUE"""),134.0)</f>
        <v>134</v>
      </c>
      <c r="E35" s="1" t="str">
        <f>IFERROR(__xludf.DUMMYFUNCTION("""COMPUTED_VALUE"""),"Придаточные обстоятельственные")</f>
        <v>Придаточные обстоятельственные</v>
      </c>
      <c r="F35" s="1">
        <f>IFERROR(__xludf.DUMMYFUNCTION("""COMPUTED_VALUE"""),234.0)</f>
        <v>234</v>
      </c>
      <c r="G35" s="1"/>
      <c r="H35" s="1"/>
      <c r="I35" s="1" t="str">
        <f>IFERROR(__xludf.DUMMYFUNCTION("""COMPUTED_VALUE"""),"Неудачное употребление местоимений")</f>
        <v>Неудачное употребление местоимений</v>
      </c>
      <c r="J35" s="1">
        <f>IFERROR(__xludf.DUMMYFUNCTION("""COMPUTED_VALUE"""),434.0)</f>
        <v>434</v>
      </c>
      <c r="K35" s="1" t="str">
        <f>IFERROR(__xludf.DUMMYFUNCTION("""COMPUTED_VALUE"""),"Степени сравнения наречия")</f>
        <v>Степени сравнения наречия</v>
      </c>
      <c r="L35" s="1">
        <f>IFERROR(__xludf.DUMMYFUNCTION("""COMPUTED_VALUE"""),534.0)</f>
        <v>534</v>
      </c>
      <c r="M35" s="1"/>
      <c r="N35" s="1"/>
      <c r="O35" s="1"/>
      <c r="P35" s="1"/>
      <c r="Q35" s="1"/>
      <c r="R35" s="1"/>
      <c r="S35" s="1" t="str">
        <f>IFERROR(__xludf.DUMMYFUNCTION("""COMPUTED_VALUE"""),"Совершенствовать орфографические и пунктуационные умения и навыки")</f>
        <v>Совершенствовать орфографические и пунктуационные умения и навыки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IFERROR(__xludf.DUMMYFUNCTION("""COMPUTED_VALUE"""),"Суффиксы существительных -ЕТ-/-ЕСТЬ-/-ЕСТВ-")</f>
        <v>Суффиксы существительных -ЕТ-/-ЕСТЬ-/-ЕСТВ-</v>
      </c>
      <c r="B36" s="1">
        <f>IFERROR(__xludf.DUMMYFUNCTION("""COMPUTED_VALUE"""),35.0)</f>
        <v>35</v>
      </c>
      <c r="C36" s="1" t="str">
        <f>IFERROR(__xludf.DUMMYFUNCTION("""COMPUTED_VALUE"""),"Тире в предложениях с обособленными приложениями")</f>
        <v>Тире в предложениях с обособленными приложениями</v>
      </c>
      <c r="D36" s="1">
        <f>IFERROR(__xludf.DUMMYFUNCTION("""COMPUTED_VALUE"""),135.0)</f>
        <v>135</v>
      </c>
      <c r="E36" s="1" t="str">
        <f>IFERROR(__xludf.DUMMYFUNCTION("""COMPUTED_VALUE"""),"Придаточные присоединительные")</f>
        <v>Придаточные присоединительные</v>
      </c>
      <c r="F36" s="1">
        <f>IFERROR(__xludf.DUMMYFUNCTION("""COMPUTED_VALUE"""),235.0)</f>
        <v>235</v>
      </c>
      <c r="G36" s="1"/>
      <c r="H36" s="1"/>
      <c r="I36" s="1" t="str">
        <f>IFERROR(__xludf.DUMMYFUNCTION("""COMPUTED_VALUE"""),"Этические нормы")</f>
        <v>Этические нормы</v>
      </c>
      <c r="J36" s="1">
        <f>IFERROR(__xludf.DUMMYFUNCTION("""COMPUTED_VALUE"""),435.0)</f>
        <v>435</v>
      </c>
      <c r="K36" s="1" t="str">
        <f>IFERROR(__xludf.DUMMYFUNCTION("""COMPUTED_VALUE"""),"Категория состояния")</f>
        <v>Категория состояния</v>
      </c>
      <c r="L36" s="1">
        <f>IFERROR(__xludf.DUMMYFUNCTION("""COMPUTED_VALUE"""),535.0)</f>
        <v>535</v>
      </c>
      <c r="M36" s="1"/>
      <c r="N36" s="1"/>
      <c r="O36" s="1"/>
      <c r="P36" s="1"/>
      <c r="Q36" s="1"/>
      <c r="R36" s="1"/>
      <c r="S36" s="1" t="str">
        <f>IFERROR(__xludf.DUMMYFUNCTION("""COMPUTED_VALUE"""),"Оценивать эстетическую сторону речевого высказывания при анализе различных текстов текстов")</f>
        <v>Оценивать эстетическую сторону речевого высказывания при анализе различных текстов текстов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IFERROR(__xludf.DUMMYFUNCTION("""COMPUTED_VALUE"""),"Суффиксы глаголов -ОВА(ЕВА)-/-ЫВА(ИВА)-/-ВА-")</f>
        <v>Суффиксы глаголов -ОВА(ЕВА)-/-ЫВА(ИВА)-/-ВА-</v>
      </c>
      <c r="B37" s="1">
        <f>IFERROR(__xludf.DUMMYFUNCTION("""COMPUTED_VALUE"""),36.0)</f>
        <v>36</v>
      </c>
      <c r="C37" s="1" t="str">
        <f>IFERROR(__xludf.DUMMYFUNCTION("""COMPUTED_VALUE"""),"Тире между словами и цифрами для указания пространственных, временных или количественных пределов")</f>
        <v>Тире между словами и цифрами для указания пространственных, временных или количественных пределов</v>
      </c>
      <c r="D37" s="1">
        <f>IFERROR(__xludf.DUMMYFUNCTION("""COMPUTED_VALUE"""),136.0)</f>
        <v>136</v>
      </c>
      <c r="E37" s="1" t="str">
        <f>IFERROR(__xludf.DUMMYFUNCTION("""COMPUTED_VALUE"""),"Цитата")</f>
        <v>Цитата</v>
      </c>
      <c r="F37" s="1">
        <f>IFERROR(__xludf.DUMMYFUNCTION("""COMPUTED_VALUE"""),236.0)</f>
        <v>236</v>
      </c>
      <c r="G37" s="1"/>
      <c r="H37" s="1"/>
      <c r="I37" s="1"/>
      <c r="J37" s="1"/>
      <c r="K37" s="1" t="str">
        <f>IFERROR(__xludf.DUMMYFUNCTION("""COMPUTED_VALUE"""),"Причастие")</f>
        <v>Причастие</v>
      </c>
      <c r="L37" s="1">
        <f>IFERROR(__xludf.DUMMYFUNCTION("""COMPUTED_VALUE"""),536.0)</f>
        <v>536</v>
      </c>
      <c r="M37" s="1"/>
      <c r="N37" s="1"/>
      <c r="O37" s="1"/>
      <c r="P37" s="1"/>
      <c r="Q37" s="1"/>
      <c r="R37" s="1"/>
      <c r="S37" s="1" t="str">
        <f>IFERROR(__xludf.DUMMYFUNCTION("""COMPUTED_VALUE"""),"Проводить комплексный анализ языковых единиц в тексте")</f>
        <v>Проводить комплексный анализ языковых единиц в тексте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IFERROR(__xludf.DUMMYFUNCTION("""COMPUTED_VALUE"""),"Правописание Е и И в суффиксах переходных и непереходных глаголов")</f>
        <v>Правописание Е и И в суффиксах переходных и непереходных глаголов</v>
      </c>
      <c r="B38" s="1">
        <f>IFERROR(__xludf.DUMMYFUNCTION("""COMPUTED_VALUE"""),37.0)</f>
        <v>37</v>
      </c>
      <c r="C38" s="1" t="str">
        <f>IFERROR(__xludf.DUMMYFUNCTION("""COMPUTED_VALUE"""),"Тире в предложениях со вставными конструкциями")</f>
        <v>Тире в предложениях со вставными конструкциями</v>
      </c>
      <c r="D38" s="1">
        <f>IFERROR(__xludf.DUMMYFUNCTION("""COMPUTED_VALUE"""),137.0)</f>
        <v>137</v>
      </c>
      <c r="E38" s="1" t="str">
        <f>IFERROR(__xludf.DUMMYFUNCTION("""COMPUTED_VALUE"""),"Риторический вопрос")</f>
        <v>Риторический вопрос</v>
      </c>
      <c r="F38" s="1">
        <f>IFERROR(__xludf.DUMMYFUNCTION("""COMPUTED_VALUE"""),237.0)</f>
        <v>237</v>
      </c>
      <c r="G38" s="1"/>
      <c r="H38" s="1"/>
      <c r="I38" s="1"/>
      <c r="J38" s="1"/>
      <c r="K38" s="1" t="str">
        <f>IFERROR(__xludf.DUMMYFUNCTION("""COMPUTED_VALUE"""),"Вид, переходность, возвратность, время причастий")</f>
        <v>Вид, переходность, возвратность, время причастий</v>
      </c>
      <c r="L38" s="1">
        <f>IFERROR(__xludf.DUMMYFUNCTION("""COMPUTED_VALUE"""),537.0)</f>
        <v>537</v>
      </c>
      <c r="M38" s="1"/>
      <c r="N38" s="1"/>
      <c r="O38" s="1"/>
      <c r="P38" s="1"/>
      <c r="Q38" s="1"/>
      <c r="R38" s="1"/>
      <c r="S38" s="1" t="str">
        <f>IFERROR(__xludf.DUMMYFUNCTION("""COMPUTED_VALUE"""),"Анализировать языковые явления и факты, допускающие неоднозначную интерпретацию")</f>
        <v>Анализировать языковые явления и факты, допускающие неоднозначную интерпретацию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IFERROR(__xludf.DUMMYFUNCTION("""COMPUTED_VALUE"""),"Гласная в суффиксе -ЕН- глагола, обозначающего переход из одного состояния в другое")</f>
        <v>Гласная в суффиксе -ЕН- глагола, обозначающего переход из одного состояния в другое</v>
      </c>
      <c r="B39" s="1">
        <f>IFERROR(__xludf.DUMMYFUNCTION("""COMPUTED_VALUE"""),38.0)</f>
        <v>38</v>
      </c>
      <c r="C39" s="1" t="str">
        <f>IFERROR(__xludf.DUMMYFUNCTION("""COMPUTED_VALUE"""),"Тире в предложениях с уточняющими членами предложения")</f>
        <v>Тире в предложениях с уточняющими членами предложения</v>
      </c>
      <c r="D39" s="1">
        <f>IFERROR(__xludf.DUMMYFUNCTION("""COMPUTED_VALUE"""),138.0)</f>
        <v>138</v>
      </c>
      <c r="E39" s="1" t="str">
        <f>IFERROR(__xludf.DUMMYFUNCTION("""COMPUTED_VALUE"""),"Риторическое восклицание")</f>
        <v>Риторическое восклицание</v>
      </c>
      <c r="F39" s="1">
        <f>IFERROR(__xludf.DUMMYFUNCTION("""COMPUTED_VALUE"""),238.0)</f>
        <v>238</v>
      </c>
      <c r="G39" s="1"/>
      <c r="H39" s="1"/>
      <c r="I39" s="1"/>
      <c r="J39" s="1"/>
      <c r="K39" s="1" t="str">
        <f>IFERROR(__xludf.DUMMYFUNCTION("""COMPUTED_VALUE"""),"Залог причастий")</f>
        <v>Залог причастий</v>
      </c>
      <c r="L39" s="1">
        <f>IFERROR(__xludf.DUMMYFUNCTION("""COMPUTED_VALUE"""),538.0)</f>
        <v>538</v>
      </c>
      <c r="M39" s="1"/>
      <c r="N39" s="1"/>
      <c r="O39" s="1"/>
      <c r="P39" s="1"/>
      <c r="Q39" s="1"/>
      <c r="R39" s="1"/>
      <c r="S39" s="1" t="str">
        <f>IFERROR(__xludf.DUMMYFUNCTION("""COMPUTED_VALUE"""),"Проводить комплексный лингвистический анализ текста")</f>
        <v>Проводить комплексный лингвистический анализ текста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IFERROR(__xludf.DUMMYFUNCTION("""COMPUTED_VALUE"""),"Гласная перед суффиксом глагола прошедшего времени")</f>
        <v>Гласная перед суффиксом глагола прошедшего времени</v>
      </c>
      <c r="B40" s="1">
        <f>IFERROR(__xludf.DUMMYFUNCTION("""COMPUTED_VALUE"""),39.0)</f>
        <v>39</v>
      </c>
      <c r="C40" s="1" t="str">
        <f>IFERROR(__xludf.DUMMYFUNCTION("""COMPUTED_VALUE"""),"Тире в БСП")</f>
        <v>Тире в БСП</v>
      </c>
      <c r="D40" s="1">
        <f>IFERROR(__xludf.DUMMYFUNCTION("""COMPUTED_VALUE"""),139.0)</f>
        <v>139</v>
      </c>
      <c r="E40" s="1" t="str">
        <f>IFERROR(__xludf.DUMMYFUNCTION("""COMPUTED_VALUE"""),"Сравнительный оборот")</f>
        <v>Сравнительный оборот</v>
      </c>
      <c r="F40" s="1">
        <f>IFERROR(__xludf.DUMMYFUNCTION("""COMPUTED_VALUE"""),239.0)</f>
        <v>239</v>
      </c>
      <c r="G40" s="1"/>
      <c r="H40" s="1"/>
      <c r="I40" s="1"/>
      <c r="J40" s="1"/>
      <c r="K40" s="1" t="str">
        <f>IFERROR(__xludf.DUMMYFUNCTION("""COMPUTED_VALUE"""),"Род, число, падеж причастий")</f>
        <v>Род, число, падеж причастий</v>
      </c>
      <c r="L40" s="1">
        <f>IFERROR(__xludf.DUMMYFUNCTION("""COMPUTED_VALUE"""),539.0)</f>
        <v>539</v>
      </c>
      <c r="M40" s="1"/>
      <c r="N40" s="1"/>
      <c r="O40" s="1"/>
      <c r="P40" s="1"/>
      <c r="Q40" s="1"/>
      <c r="R40" s="1"/>
      <c r="S40" s="1" t="str">
        <f>IFERROR(__xludf.DUMMYFUNCTION("""COMPUTED_VALUE"""),"Критически оценивать устный монологический текст и устный диалогический текст")</f>
        <v>Критически оценивать устный монологический текст и устный диалогический текст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IFERROR(__xludf.DUMMYFUNCTION("""COMPUTED_VALUE"""),"Гласная в суффиксе инфинитива глагола")</f>
        <v>Гласная в суффиксе инфинитива глагола</v>
      </c>
      <c r="B41" s="1">
        <f>IFERROR(__xludf.DUMMYFUNCTION("""COMPUTED_VALUE"""),40.0)</f>
        <v>40</v>
      </c>
      <c r="C41" s="1" t="str">
        <f>IFERROR(__xludf.DUMMYFUNCTION("""COMPUTED_VALUE"""),"Двоеточие в БСП")</f>
        <v>Двоеточие в БСП</v>
      </c>
      <c r="D41" s="1">
        <f>IFERROR(__xludf.DUMMYFUNCTION("""COMPUTED_VALUE"""),140.0)</f>
        <v>140</v>
      </c>
      <c r="E41" s="1" t="str">
        <f>IFERROR(__xludf.DUMMYFUNCTION("""COMPUTED_VALUE"""),"Антитеза")</f>
        <v>Антитеза</v>
      </c>
      <c r="F41" s="1">
        <f>IFERROR(__xludf.DUMMYFUNCTION("""COMPUTED_VALUE"""),240.0)</f>
        <v>240</v>
      </c>
      <c r="G41" s="1"/>
      <c r="H41" s="1"/>
      <c r="I41" s="1"/>
      <c r="J41" s="1"/>
      <c r="K41" s="1" t="str">
        <f>IFERROR(__xludf.DUMMYFUNCTION("""COMPUTED_VALUE"""),"Полные и краткие причастия")</f>
        <v>Полные и краткие причастия</v>
      </c>
      <c r="L41" s="1">
        <f>IFERROR(__xludf.DUMMYFUNCTION("""COMPUTED_VALUE"""),540.0)</f>
        <v>540</v>
      </c>
      <c r="M41" s="1"/>
      <c r="N41" s="1"/>
      <c r="O41" s="1"/>
      <c r="P41" s="1"/>
      <c r="Q41" s="1"/>
      <c r="R41" s="1"/>
      <c r="S41" s="1" t="str">
        <f>IFERROR(__xludf.DUMMYFUNCTION("""COMPUTED_VALUE"""),"Использовать языковые средства с учетом вариативности современного русского языка")</f>
        <v>Использовать языковые средства с учетом вариативности современного русского языка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IFERROR(__xludf.DUMMYFUNCTION("""COMPUTED_VALUE"""),"Гласные перед суффиксом действительного причастия прошедшего времени")</f>
        <v>Гласные перед суффиксом действительного причастия прошедшего времени</v>
      </c>
      <c r="B42" s="1">
        <f>IFERROR(__xludf.DUMMYFUNCTION("""COMPUTED_VALUE"""),41.0)</f>
        <v>41</v>
      </c>
      <c r="C42" s="1" t="str">
        <f>IFERROR(__xludf.DUMMYFUNCTION("""COMPUTED_VALUE"""),"Кавычки")</f>
        <v>Кавычки</v>
      </c>
      <c r="D42" s="1">
        <f>IFERROR(__xludf.DUMMYFUNCTION("""COMPUTED_VALUE"""),141.0)</f>
        <v>141</v>
      </c>
      <c r="E42" s="1" t="str">
        <f>IFERROR(__xludf.DUMMYFUNCTION("""COMPUTED_VALUE"""),"Вопросно-ответная форма изложения")</f>
        <v>Вопросно-ответная форма изложения</v>
      </c>
      <c r="F42" s="1">
        <f>IFERROR(__xludf.DUMMYFUNCTION("""COMPUTED_VALUE"""),241.0)</f>
        <v>241</v>
      </c>
      <c r="G42" s="1"/>
      <c r="H42" s="1"/>
      <c r="I42" s="1"/>
      <c r="J42" s="1"/>
      <c r="K42" s="1" t="str">
        <f>IFERROR(__xludf.DUMMYFUNCTION("""COMPUTED_VALUE"""),"Причастия и отглагольные прилагательные")</f>
        <v>Причастия и отглагольные прилагательные</v>
      </c>
      <c r="L42" s="1">
        <f>IFERROR(__xludf.DUMMYFUNCTION("""COMPUTED_VALUE"""),541.0)</f>
        <v>541</v>
      </c>
      <c r="M42" s="1"/>
      <c r="N42" s="1"/>
      <c r="O42" s="1"/>
      <c r="P42" s="1"/>
      <c r="Q42" s="1"/>
      <c r="R42" s="1"/>
      <c r="S42" s="1" t="str">
        <f>IFERROR(__xludf.DUMMYFUNCTION("""COMPUTED_VALUE"""),"Редактировать устные и письменные тексты различных стилей и жанров")</f>
        <v>Редактировать устные и письменные тексты различных стилей и жанров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IFERROR(__xludf.DUMMYFUNCTION("""COMPUTED_VALUE"""),"Гласная в суффиксах страдательного причастия прошедшего времени под ударением")</f>
        <v>Гласная в суффиксах страдательного причастия прошедшего времени под ударением</v>
      </c>
      <c r="B43" s="1">
        <f>IFERROR(__xludf.DUMMYFUNCTION("""COMPUTED_VALUE"""),42.0)</f>
        <v>42</v>
      </c>
      <c r="C43" s="1" t="str">
        <f>IFERROR(__xludf.DUMMYFUNCTION("""COMPUTED_VALUE"""),"Пунктуационный разбор предложения")</f>
        <v>Пунктуационный разбор предложения</v>
      </c>
      <c r="D43" s="1">
        <f>IFERROR(__xludf.DUMMYFUNCTION("""COMPUTED_VALUE"""),142.0)</f>
        <v>142</v>
      </c>
      <c r="E43" s="1" t="str">
        <f>IFERROR(__xludf.DUMMYFUNCTION("""COMPUTED_VALUE"""),"Противопоставление")</f>
        <v>Противопоставление</v>
      </c>
      <c r="F43" s="1">
        <f>IFERROR(__xludf.DUMMYFUNCTION("""COMPUTED_VALUE"""),242.0)</f>
        <v>242</v>
      </c>
      <c r="G43" s="1"/>
      <c r="H43" s="1"/>
      <c r="I43" s="1"/>
      <c r="J43" s="1"/>
      <c r="K43" s="1" t="str">
        <f>IFERROR(__xludf.DUMMYFUNCTION("""COMPUTED_VALUE"""),"Деепричастие")</f>
        <v>Деепричастие</v>
      </c>
      <c r="L43" s="1">
        <f>IFERROR(__xludf.DUMMYFUNCTION("""COMPUTED_VALUE"""),542.0)</f>
        <v>542</v>
      </c>
      <c r="M43" s="1"/>
      <c r="N43" s="1"/>
      <c r="O43" s="1"/>
      <c r="P43" s="1"/>
      <c r="Q43" s="1"/>
      <c r="R43" s="1"/>
      <c r="S43" s="1" t="str">
        <f>IFERROR(__xludf.DUMMYFUNCTION("""COMPUTED_VALUE"""),"Проведение различных видов анализа слова (фонетического, морфемного, словообразовательного, лексического, морфологического)")</f>
        <v>Проведение различных видов анализа слова (фонетического, морфемного, словообразовательного, лексического, морфологического)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IFERROR(__xludf.DUMMYFUNCTION("""COMPUTED_VALUE"""),"Гласные О/А в суффиксах наречий")</f>
        <v>Гласные О/А в суффиксах наречий</v>
      </c>
      <c r="B44" s="1">
        <f>IFERROR(__xludf.DUMMYFUNCTION("""COMPUTED_VALUE"""),43.0)</f>
        <v>43</v>
      </c>
      <c r="C44" s="1" t="str">
        <f>IFERROR(__xludf.DUMMYFUNCTION("""COMPUTED_VALUE"""),"Знаки препинания при вставных конструкциях")</f>
        <v>Знаки препинания при вставных конструкциях</v>
      </c>
      <c r="D44" s="1">
        <f>IFERROR(__xludf.DUMMYFUNCTION("""COMPUTED_VALUE"""),143.0)</f>
        <v>143</v>
      </c>
      <c r="E44" s="1" t="str">
        <f>IFERROR(__xludf.DUMMYFUNCTION("""COMPUTED_VALUE"""),"Анафора")</f>
        <v>Анафора</v>
      </c>
      <c r="F44" s="1">
        <f>IFERROR(__xludf.DUMMYFUNCTION("""COMPUTED_VALUE"""),243.0)</f>
        <v>243</v>
      </c>
      <c r="G44" s="1"/>
      <c r="H44" s="1"/>
      <c r="I44" s="1"/>
      <c r="J44" s="1"/>
      <c r="K44" s="1" t="str">
        <f>IFERROR(__xludf.DUMMYFUNCTION("""COMPUTED_VALUE"""),"Вид деепричастия")</f>
        <v>Вид деепричастия</v>
      </c>
      <c r="L44" s="1">
        <f>IFERROR(__xludf.DUMMYFUNCTION("""COMPUTED_VALUE"""),543.0)</f>
        <v>543</v>
      </c>
      <c r="M44" s="1"/>
      <c r="N44" s="1"/>
      <c r="O44" s="1"/>
      <c r="P44" s="1"/>
      <c r="Q44" s="1"/>
      <c r="R44" s="1"/>
      <c r="S44" s="1" t="str">
        <f>IFERROR(__xludf.DUMMYFUNCTION("""COMPUTED_VALUE"""),"Проведение различных видов синтаксического анализа словосочетания и предложения")</f>
        <v>Проведение различных видов синтаксического анализа словосочетания и предложения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IFERROR(__xludf.DUMMYFUNCTION("""COMPUTED_VALUE"""),"Суффиксы прилагательных -ЕВ-/-ИВ-")</f>
        <v>Суффиксы прилагательных -ЕВ-/-ИВ-</v>
      </c>
      <c r="B45" s="1">
        <f>IFERROR(__xludf.DUMMYFUNCTION("""COMPUTED_VALUE"""),44.0)</f>
        <v>44</v>
      </c>
      <c r="C45" s="1"/>
      <c r="D45" s="1"/>
      <c r="E45" s="1" t="str">
        <f>IFERROR(__xludf.DUMMYFUNCTION("""COMPUTED_VALUE"""),"Эпифора")</f>
        <v>Эпифора</v>
      </c>
      <c r="F45" s="1">
        <f>IFERROR(__xludf.DUMMYFUNCTION("""COMPUTED_VALUE"""),244.0)</f>
        <v>244</v>
      </c>
      <c r="G45" s="1"/>
      <c r="H45" s="1"/>
      <c r="I45" s="1"/>
      <c r="J45" s="1"/>
      <c r="K45" s="1" t="str">
        <f>IFERROR(__xludf.DUMMYFUNCTION("""COMPUTED_VALUE"""),"Союзы")</f>
        <v>Союзы</v>
      </c>
      <c r="L45" s="1">
        <f>IFERROR(__xludf.DUMMYFUNCTION("""COMPUTED_VALUE"""),544.0)</f>
        <v>544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IFERROR(__xludf.DUMMYFUNCTION("""COMPUTED_VALUE"""),"Гласная в суффиксах прилагательных после шипящих под ударением")</f>
        <v>Гласная в суффиксах прилагательных после шипящих под ударением</v>
      </c>
      <c r="B46" s="1">
        <f>IFERROR(__xludf.DUMMYFUNCTION("""COMPUTED_VALUE"""),45.0)</f>
        <v>45</v>
      </c>
      <c r="C46" s="1"/>
      <c r="D46" s="1"/>
      <c r="E46" s="1" t="str">
        <f>IFERROR(__xludf.DUMMYFUNCTION("""COMPUTED_VALUE"""),"Лексический повтор")</f>
        <v>Лексический повтор</v>
      </c>
      <c r="F46" s="1">
        <f>IFERROR(__xludf.DUMMYFUNCTION("""COMPUTED_VALUE"""),245.0)</f>
        <v>245</v>
      </c>
      <c r="G46" s="1"/>
      <c r="H46" s="1"/>
      <c r="I46" s="1"/>
      <c r="J46" s="1"/>
      <c r="K46" s="1" t="str">
        <f>IFERROR(__xludf.DUMMYFUNCTION("""COMPUTED_VALUE"""),"Простые и составные союзы")</f>
        <v>Простые и составные союзы</v>
      </c>
      <c r="L46" s="1">
        <f>IFERROR(__xludf.DUMMYFUNCTION("""COMPUTED_VALUE"""),545.0)</f>
        <v>545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IFERROR(__xludf.DUMMYFUNCTION("""COMPUTED_VALUE"""),"Суффиксы прилагательных -ЧИВ-/-ЛИВ-/-ИСТ-")</f>
        <v>Суффиксы прилагательных -ЧИВ-/-ЛИВ-/-ИСТ-</v>
      </c>
      <c r="B47" s="1">
        <f>IFERROR(__xludf.DUMMYFUNCTION("""COMPUTED_VALUE"""),46.0)</f>
        <v>46</v>
      </c>
      <c r="C47" s="1"/>
      <c r="D47" s="1"/>
      <c r="E47" s="1" t="str">
        <f>IFERROR(__xludf.DUMMYFUNCTION("""COMPUTED_VALUE"""),"Синтаксический параллелизм")</f>
        <v>Синтаксический параллелизм</v>
      </c>
      <c r="F47" s="1">
        <f>IFERROR(__xludf.DUMMYFUNCTION("""COMPUTED_VALUE"""),246.0)</f>
        <v>246</v>
      </c>
      <c r="G47" s="1"/>
      <c r="H47" s="1"/>
      <c r="I47" s="1"/>
      <c r="J47" s="1"/>
      <c r="K47" s="1" t="str">
        <f>IFERROR(__xludf.DUMMYFUNCTION("""COMPUTED_VALUE"""),"Производные и непроизводные союзы")</f>
        <v>Производные и непроизводные союзы</v>
      </c>
      <c r="L47" s="1">
        <f>IFERROR(__xludf.DUMMYFUNCTION("""COMPUTED_VALUE"""),546.0)</f>
        <v>546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IFERROR(__xludf.DUMMYFUNCTION("""COMPUTED_VALUE"""),"Суффиксы прилагательных -ЕВАТ-/-ОВАТ-/-ЕВИТ-")</f>
        <v>Суффиксы прилагательных -ЕВАТ-/-ОВАТ-/-ЕВИТ-</v>
      </c>
      <c r="B48" s="1">
        <f>IFERROR(__xludf.DUMMYFUNCTION("""COMPUTED_VALUE"""),47.0)</f>
        <v>47</v>
      </c>
      <c r="C48" s="1"/>
      <c r="D48" s="1"/>
      <c r="E48" s="1" t="str">
        <f>IFERROR(__xludf.DUMMYFUNCTION("""COMPUTED_VALUE"""),"Градация")</f>
        <v>Градация</v>
      </c>
      <c r="F48" s="1">
        <f>IFERROR(__xludf.DUMMYFUNCTION("""COMPUTED_VALUE"""),247.0)</f>
        <v>247</v>
      </c>
      <c r="G48" s="1"/>
      <c r="H48" s="1"/>
      <c r="I48" s="1"/>
      <c r="J48" s="1"/>
      <c r="K48" s="1" t="str">
        <f>IFERROR(__xludf.DUMMYFUNCTION("""COMPUTED_VALUE"""),"Двойные союзы")</f>
        <v>Двойные союзы</v>
      </c>
      <c r="L48" s="1">
        <f>IFERROR(__xludf.DUMMYFUNCTION("""COMPUTED_VALUE"""),547.0)</f>
        <v>547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IFERROR(__xludf.DUMMYFUNCTION("""COMPUTED_VALUE"""),"Суффиксы прилагательных -АН-/-АТ-/-ЧАТ-")</f>
        <v>Суффиксы прилагательных -АН-/-АТ-/-ЧАТ-</v>
      </c>
      <c r="B49" s="1">
        <f>IFERROR(__xludf.DUMMYFUNCTION("""COMPUTED_VALUE"""),48.0)</f>
        <v>48</v>
      </c>
      <c r="C49" s="1"/>
      <c r="D49" s="1"/>
      <c r="E49" s="1" t="str">
        <f>IFERROR(__xludf.DUMMYFUNCTION("""COMPUTED_VALUE"""),"Парцелляция")</f>
        <v>Парцелляция</v>
      </c>
      <c r="F49" s="1">
        <f>IFERROR(__xludf.DUMMYFUNCTION("""COMPUTED_VALUE"""),248.0)</f>
        <v>248</v>
      </c>
      <c r="G49" s="1"/>
      <c r="H49" s="1"/>
      <c r="I49" s="1"/>
      <c r="J49" s="1"/>
      <c r="K49" s="1" t="str">
        <f>IFERROR(__xludf.DUMMYFUNCTION("""COMPUTED_VALUE"""),"Сочинительные союзы")</f>
        <v>Сочинительные союзы</v>
      </c>
      <c r="L49" s="1">
        <f>IFERROR(__xludf.DUMMYFUNCTION("""COMPUTED_VALUE"""),548.0)</f>
        <v>548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IFERROR(__xludf.DUMMYFUNCTION("""COMPUTED_VALUE"""),"Суффиксы прилагательных -К-/-СК-")</f>
        <v>Суффиксы прилагательных -К-/-СК-</v>
      </c>
      <c r="B50" s="1">
        <f>IFERROR(__xludf.DUMMYFUNCTION("""COMPUTED_VALUE"""),49.0)</f>
        <v>49</v>
      </c>
      <c r="C50" s="1"/>
      <c r="D50" s="1"/>
      <c r="E50" s="1" t="str">
        <f>IFERROR(__xludf.DUMMYFUNCTION("""COMPUTED_VALUE"""),"Формы речи. Диалог, монолог")</f>
        <v>Формы речи. Диалог, монолог</v>
      </c>
      <c r="F50" s="1">
        <f>IFERROR(__xludf.DUMMYFUNCTION("""COMPUTED_VALUE"""),249.0)</f>
        <v>249</v>
      </c>
      <c r="G50" s="1"/>
      <c r="H50" s="1"/>
      <c r="I50" s="1"/>
      <c r="J50" s="1"/>
      <c r="K50" s="1" t="str">
        <f>IFERROR(__xludf.DUMMYFUNCTION("""COMPUTED_VALUE"""),"Разряды сочинительных союзов")</f>
        <v>Разряды сочинительных союзов</v>
      </c>
      <c r="L50" s="1">
        <f>IFERROR(__xludf.DUMMYFUNCTION("""COMPUTED_VALUE"""),549.0)</f>
        <v>549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IFERROR(__xludf.DUMMYFUNCTION("""COMPUTED_VALUE"""),"Суффиксы прилагательных -ЕНЬК-/-ОНЬК-")</f>
        <v>Суффиксы прилагательных -ЕНЬК-/-ОНЬК-</v>
      </c>
      <c r="B51" s="1">
        <f>IFERROR(__xludf.DUMMYFUNCTION("""COMPUTED_VALUE"""),50.0)</f>
        <v>50</v>
      </c>
      <c r="C51" s="1"/>
      <c r="D51" s="1"/>
      <c r="E51" s="1" t="str">
        <f>IFERROR(__xludf.DUMMYFUNCTION("""COMPUTED_VALUE"""),"Ошибки в построении предложений с однородными членами")</f>
        <v>Ошибки в построении предложений с однородными членами</v>
      </c>
      <c r="F51" s="1">
        <f>IFERROR(__xludf.DUMMYFUNCTION("""COMPUTED_VALUE"""),250.0)</f>
        <v>250</v>
      </c>
      <c r="G51" s="1"/>
      <c r="H51" s="1"/>
      <c r="I51" s="1"/>
      <c r="J51" s="1"/>
      <c r="K51" s="1" t="str">
        <f>IFERROR(__xludf.DUMMYFUNCTION("""COMPUTED_VALUE"""),"Подчинительные союзы")</f>
        <v>Подчинительные союзы</v>
      </c>
      <c r="L51" s="1">
        <f>IFERROR(__xludf.DUMMYFUNCTION("""COMPUTED_VALUE"""),550.0)</f>
        <v>550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IFERROR(__xludf.DUMMYFUNCTION("""COMPUTED_VALUE"""),"Суффиксы прилагательных -ЕНСК-/-ИНСК-, -ЕСК-")</f>
        <v>Суффиксы прилагательных -ЕНСК-/-ИНСК-, -ЕСК-</v>
      </c>
      <c r="B52" s="1">
        <f>IFERROR(__xludf.DUMMYFUNCTION("""COMPUTED_VALUE"""),51.0)</f>
        <v>51</v>
      </c>
      <c r="C52" s="1"/>
      <c r="D52" s="1"/>
      <c r="E52" s="1" t="str">
        <f>IFERROR(__xludf.DUMMYFUNCTION("""COMPUTED_VALUE"""),"Ошибки в построении предложений с причастными оборотами")</f>
        <v>Ошибки в построении предложений с причастными оборотами</v>
      </c>
      <c r="F52" s="1">
        <f>IFERROR(__xludf.DUMMYFUNCTION("""COMPUTED_VALUE"""),251.0)</f>
        <v>251</v>
      </c>
      <c r="G52" s="1"/>
      <c r="H52" s="1"/>
      <c r="I52" s="1"/>
      <c r="J52" s="1"/>
      <c r="K52" s="1" t="str">
        <f>IFERROR(__xludf.DUMMYFUNCTION("""COMPUTED_VALUE"""),"Разряды подчинительных союзов по значению")</f>
        <v>Разряды подчинительных союзов по значению</v>
      </c>
      <c r="L52" s="1">
        <f>IFERROR(__xludf.DUMMYFUNCTION("""COMPUTED_VALUE"""),551.0)</f>
        <v>551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IFERROR(__xludf.DUMMYFUNCTION("""COMPUTED_VALUE"""),"Гласная перед Ч в прилагательных на -ЧИЙ")</f>
        <v>Гласная перед Ч в прилагательных на -ЧИЙ</v>
      </c>
      <c r="B53" s="1">
        <f>IFERROR(__xludf.DUMMYFUNCTION("""COMPUTED_VALUE"""),52.0)</f>
        <v>52</v>
      </c>
      <c r="C53" s="1"/>
      <c r="D53" s="1"/>
      <c r="E53" s="1" t="str">
        <f>IFERROR(__xludf.DUMMYFUNCTION("""COMPUTED_VALUE"""),"Ошибки в построении предложений с деепричастными оборотами")</f>
        <v>Ошибки в построении предложений с деепричастными оборотами</v>
      </c>
      <c r="F53" s="1">
        <f>IFERROR(__xludf.DUMMYFUNCTION("""COMPUTED_VALUE"""),252.0)</f>
        <v>252</v>
      </c>
      <c r="G53" s="1"/>
      <c r="H53" s="1"/>
      <c r="I53" s="1"/>
      <c r="J53" s="1"/>
      <c r="K53" s="1" t="str">
        <f>IFERROR(__xludf.DUMMYFUNCTION("""COMPUTED_VALUE"""),"Союзные слова")</f>
        <v>Союзные слова</v>
      </c>
      <c r="L53" s="1">
        <f>IFERROR(__xludf.DUMMYFUNCTION("""COMPUTED_VALUE"""),552.0)</f>
        <v>552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IFERROR(__xludf.DUMMYFUNCTION("""COMPUTED_VALUE"""),"Суффиксы прилагательных -АН-/ЯН-/-ИН-")</f>
        <v>Суффиксы прилагательных -АН-/ЯН-/-ИН-</v>
      </c>
      <c r="B54" s="1">
        <f>IFERROR(__xludf.DUMMYFUNCTION("""COMPUTED_VALUE"""),53.0)</f>
        <v>53</v>
      </c>
      <c r="C54" s="1"/>
      <c r="D54" s="1"/>
      <c r="E54" s="1" t="str">
        <f>IFERROR(__xludf.DUMMYFUNCTION("""COMPUTED_VALUE"""),"Ошибки в построении предложений с несогласованным приложением")</f>
        <v>Ошибки в построении предложений с несогласованным приложением</v>
      </c>
      <c r="F54" s="1">
        <f>IFERROR(__xludf.DUMMYFUNCTION("""COMPUTED_VALUE"""),253.0)</f>
        <v>253</v>
      </c>
      <c r="G54" s="1"/>
      <c r="H54" s="1"/>
      <c r="I54" s="1"/>
      <c r="J54" s="1"/>
      <c r="K54" s="1" t="str">
        <f>IFERROR(__xludf.DUMMYFUNCTION("""COMPUTED_VALUE"""),"Предлоги")</f>
        <v>Предлоги</v>
      </c>
      <c r="L54" s="1">
        <f>IFERROR(__xludf.DUMMYFUNCTION("""COMPUTED_VALUE"""),553.0)</f>
        <v>553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IFERROR(__xludf.DUMMYFUNCTION("""COMPUTED_VALUE"""),"Омонимия в суффиксах прилагательных -ЯН-/-ЕН-")</f>
        <v>Омонимия в суффиксах прилагательных -ЯН-/-ЕН-</v>
      </c>
      <c r="B55" s="1">
        <f>IFERROR(__xludf.DUMMYFUNCTION("""COMPUTED_VALUE"""),54.0)</f>
        <v>54</v>
      </c>
      <c r="C55" s="1"/>
      <c r="D55" s="1"/>
      <c r="E55" s="1" t="str">
        <f>IFERROR(__xludf.DUMMYFUNCTION("""COMPUTED_VALUE"""),"Ошибки в построении предложений с косвенной речью")</f>
        <v>Ошибки в построении предложений с косвенной речью</v>
      </c>
      <c r="F55" s="1">
        <f>IFERROR(__xludf.DUMMYFUNCTION("""COMPUTED_VALUE"""),254.0)</f>
        <v>254</v>
      </c>
      <c r="G55" s="1"/>
      <c r="H55" s="1"/>
      <c r="I55" s="1"/>
      <c r="J55" s="1"/>
      <c r="K55" s="1" t="str">
        <f>IFERROR(__xludf.DUMMYFUNCTION("""COMPUTED_VALUE"""),"Простые и составные предлоги")</f>
        <v>Простые и составные предлоги</v>
      </c>
      <c r="L55" s="1">
        <f>IFERROR(__xludf.DUMMYFUNCTION("""COMPUTED_VALUE"""),554.0)</f>
        <v>554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IFERROR(__xludf.DUMMYFUNCTION("""COMPUTED_VALUE"""),"Правописание личных окончаний глагола 1 спряжения")</f>
        <v>Правописание личных окончаний глагола 1 спряжения</v>
      </c>
      <c r="B56" s="1">
        <f>IFERROR(__xludf.DUMMYFUNCTION("""COMPUTED_VALUE"""),55.0)</f>
        <v>55</v>
      </c>
      <c r="C56" s="1"/>
      <c r="D56" s="1"/>
      <c r="E56" s="1" t="str">
        <f>IFERROR(__xludf.DUMMYFUNCTION("""COMPUTED_VALUE"""),"Ошибки в построении сложного предложения")</f>
        <v>Ошибки в построении сложного предложения</v>
      </c>
      <c r="F56" s="1">
        <f>IFERROR(__xludf.DUMMYFUNCTION("""COMPUTED_VALUE"""),255.0)</f>
        <v>255</v>
      </c>
      <c r="G56" s="1"/>
      <c r="H56" s="1"/>
      <c r="I56" s="1"/>
      <c r="J56" s="1"/>
      <c r="K56" s="1" t="str">
        <f>IFERROR(__xludf.DUMMYFUNCTION("""COMPUTED_VALUE"""),"Разряды предлогов по значению")</f>
        <v>Разряды предлогов по значению</v>
      </c>
      <c r="L56" s="1">
        <f>IFERROR(__xludf.DUMMYFUNCTION("""COMPUTED_VALUE"""),555.0)</f>
        <v>555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IFERROR(__xludf.DUMMYFUNCTION("""COMPUTED_VALUE"""),"Правописание личных окончаний глагола 2 спряжения")</f>
        <v>Правописание личных окончаний глагола 2 спряжения</v>
      </c>
      <c r="B57" s="1">
        <f>IFERROR(__xludf.DUMMYFUNCTION("""COMPUTED_VALUE"""),56.0)</f>
        <v>56</v>
      </c>
      <c r="C57" s="1"/>
      <c r="D57" s="1"/>
      <c r="E57" s="1" t="str">
        <f>IFERROR(__xludf.DUMMYFUNCTION("""COMPUTED_VALUE"""),"Нарушение границ предложения")</f>
        <v>Нарушение границ предложения</v>
      </c>
      <c r="F57" s="1">
        <f>IFERROR(__xludf.DUMMYFUNCTION("""COMPUTED_VALUE"""),256.0)</f>
        <v>256</v>
      </c>
      <c r="G57" s="1"/>
      <c r="H57" s="1"/>
      <c r="I57" s="1"/>
      <c r="J57" s="1"/>
      <c r="K57" s="1" t="str">
        <f>IFERROR(__xludf.DUMMYFUNCTION("""COMPUTED_VALUE"""),"Производные и непроизводные предлоги")</f>
        <v>Производные и непроизводные предлоги</v>
      </c>
      <c r="L57" s="1">
        <f>IFERROR(__xludf.DUMMYFUNCTION("""COMPUTED_VALUE"""),556.0)</f>
        <v>556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IFERROR(__xludf.DUMMYFUNCTION("""COMPUTED_VALUE"""),"Правописание личных окончаний глагола с приставкой ВЫ-")</f>
        <v>Правописание личных окончаний глагола с приставкой ВЫ-</v>
      </c>
      <c r="B58" s="1">
        <f>IFERROR(__xludf.DUMMYFUNCTION("""COMPUTED_VALUE"""),57.0)</f>
        <v>57</v>
      </c>
      <c r="C58" s="1"/>
      <c r="D58" s="1"/>
      <c r="E58" s="1" t="str">
        <f>IFERROR(__xludf.DUMMYFUNCTION("""COMPUTED_VALUE"""),"Синтаксический разбор предложения")</f>
        <v>Синтаксический разбор предложения</v>
      </c>
      <c r="F58" s="1">
        <f>IFERROR(__xludf.DUMMYFUNCTION("""COMPUTED_VALUE"""),257.0)</f>
        <v>257</v>
      </c>
      <c r="G58" s="1"/>
      <c r="H58" s="1"/>
      <c r="I58" s="1"/>
      <c r="J58" s="1"/>
      <c r="K58" s="1" t="str">
        <f>IFERROR(__xludf.DUMMYFUNCTION("""COMPUTED_VALUE"""),"Междометия")</f>
        <v>Междометия</v>
      </c>
      <c r="L58" s="1">
        <f>IFERROR(__xludf.DUMMYFUNCTION("""COMPUTED_VALUE"""),557.0)</f>
        <v>557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IFERROR(__xludf.DUMMYFUNCTION("""COMPUTED_VALUE"""),"Правописание личных окончаний разноспрягаемых глаголов")</f>
        <v>Правописание личных окончаний разноспрягаемых глаголов</v>
      </c>
      <c r="B59" s="1">
        <f>IFERROR(__xludf.DUMMYFUNCTION("""COMPUTED_VALUE"""),58.0)</f>
        <v>58</v>
      </c>
      <c r="C59" s="1"/>
      <c r="D59" s="1"/>
      <c r="E59" s="1" t="str">
        <f>IFERROR(__xludf.DUMMYFUNCTION("""COMPUTED_VALUE"""),"Вводные слова и конструкции")</f>
        <v>Вводные слова и конструкции</v>
      </c>
      <c r="F59" s="1">
        <f>IFERROR(__xludf.DUMMYFUNCTION("""COMPUTED_VALUE"""),258.0)</f>
        <v>258</v>
      </c>
      <c r="G59" s="1"/>
      <c r="H59" s="1"/>
      <c r="I59" s="1"/>
      <c r="J59" s="1"/>
      <c r="K59" s="1" t="str">
        <f>IFERROR(__xludf.DUMMYFUNCTION("""COMPUTED_VALUE"""),"Разряды местоимений")</f>
        <v>Разряды местоимений</v>
      </c>
      <c r="L59" s="1">
        <f>IFERROR(__xludf.DUMMYFUNCTION("""COMPUTED_VALUE"""),558.0)</f>
        <v>558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IFERROR(__xludf.DUMMYFUNCTION("""COMPUTED_VALUE"""),"Правописание гласных в суффиксах причастий настоящего времени")</f>
        <v>Правописание гласных в суффиксах причастий настоящего времени</v>
      </c>
      <c r="B60" s="1">
        <f>IFERROR(__xludf.DUMMYFUNCTION("""COMPUTED_VALUE"""),59.0)</f>
        <v>59</v>
      </c>
      <c r="C60" s="1"/>
      <c r="D60" s="1"/>
      <c r="E60" s="1" t="str">
        <f>IFERROR(__xludf.DUMMYFUNCTION("""COMPUTED_VALUE"""),"ССП")</f>
        <v>ССП</v>
      </c>
      <c r="F60" s="1">
        <f>IFERROR(__xludf.DUMMYFUNCTION("""COMPUTED_VALUE"""),259.0)</f>
        <v>259</v>
      </c>
      <c r="G60" s="1"/>
      <c r="H60" s="1"/>
      <c r="I60" s="1"/>
      <c r="J60" s="1"/>
      <c r="K60" s="1" t="str">
        <f>IFERROR(__xludf.DUMMYFUNCTION("""COMPUTED_VALUE"""),"Частицы")</f>
        <v>Частицы</v>
      </c>
      <c r="L60" s="1">
        <f>IFERROR(__xludf.DUMMYFUNCTION("""COMPUTED_VALUE"""),559.0)</f>
        <v>559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IFERROR(__xludf.DUMMYFUNCTION("""COMPUTED_VALUE"""),"Правописание гласных в суффиксах причастий прошедшего времени")</f>
        <v>Правописание гласных в суффиксах причастий прошедшего времени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IFERROR(__xludf.DUMMYFUNCTION("""COMPUTED_VALUE"""),"СПП")</f>
        <v>СПП</v>
      </c>
      <c r="F61" s="1">
        <f>IFERROR(__xludf.DUMMYFUNCTION("""COMPUTED_VALUE"""),260.0)</f>
        <v>260</v>
      </c>
      <c r="G61" s="1"/>
      <c r="H61" s="1"/>
      <c r="I61" s="1"/>
      <c r="J61" s="1"/>
      <c r="K61" s="1" t="str">
        <f>IFERROR(__xludf.DUMMYFUNCTION("""COMPUTED_VALUE"""),"Формообразующие частицы")</f>
        <v>Формообразующие частицы</v>
      </c>
      <c r="L61" s="1">
        <f>IFERROR(__xludf.DUMMYFUNCTION("""COMPUTED_VALUE"""),560.0)</f>
        <v>560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IFERROR(__xludf.DUMMYFUNCTION("""COMPUTED_VALUE"""),"Правописание гласных перед суффиксом деепричастия")</f>
        <v>Правописание гласных перед суффиксом деепричастия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IFERROR(__xludf.DUMMYFUNCTION("""COMPUTED_VALUE"""),"БСП")</f>
        <v>БСП</v>
      </c>
      <c r="F62" s="1">
        <f>IFERROR(__xludf.DUMMYFUNCTION("""COMPUTED_VALUE"""),261.0)</f>
        <v>261</v>
      </c>
      <c r="G62" s="1"/>
      <c r="H62" s="1"/>
      <c r="I62" s="1"/>
      <c r="J62" s="1"/>
      <c r="K62" s="1" t="str">
        <f>IFERROR(__xludf.DUMMYFUNCTION("""COMPUTED_VALUE"""),"Смыслообразующие частицы и их разряды")</f>
        <v>Смыслообразующие частицы и их разряды</v>
      </c>
      <c r="L62" s="1">
        <f>IFERROR(__xludf.DUMMYFUNCTION("""COMPUTED_VALUE"""),561.0)</f>
        <v>561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IFERROR(__xludf.DUMMYFUNCTION("""COMPUTED_VALUE"""),"Правописание частиц НЕ и НИ")</f>
        <v>Правописание частиц НЕ и НИ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IFERROR(__xludf.DUMMYFUNCTION("""COMPUTED_VALUE"""),"Однородное, последовательное, неоднородное подчинение придаточных")</f>
        <v>Однородное, последовательное, неоднородное подчинение придаточных</v>
      </c>
      <c r="F63" s="1">
        <f>IFERROR(__xludf.DUMMYFUNCTION("""COMPUTED_VALUE"""),262.0)</f>
        <v>262</v>
      </c>
      <c r="G63" s="1"/>
      <c r="H63" s="1"/>
      <c r="I63" s="1"/>
      <c r="J63" s="1"/>
      <c r="K63" s="1" t="str">
        <f>IFERROR(__xludf.DUMMYFUNCTION("""COMPUTED_VALUE"""),"Морфологический разбор слова")</f>
        <v>Морфологический разбор слова</v>
      </c>
      <c r="L63" s="1">
        <f>IFERROR(__xludf.DUMMYFUNCTION("""COMPUTED_VALUE"""),562.0)</f>
        <v>562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IFERROR(__xludf.DUMMYFUNCTION("""COMPUTED_VALUE"""),"Правописание частиц НЕ и НИ с глаголами и деепричастиями")</f>
        <v>Правописание частиц НЕ и НИ с глаголами и деепричастиями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IFERROR(__xludf.DUMMYFUNCTION("""COMPUTED_VALUE"""),"Грамматическая основа")</f>
        <v>Грамматическая основа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IFERROR(__xludf.DUMMYFUNCTION("""COMPUTED_VALUE"""),"Различие приставки НЕДО- от сочетания слов НЕ ДО-")</f>
        <v>Различие приставки НЕДО- от сочетания слов НЕ ДО-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IFERROR(__xludf.DUMMYFUNCTION("""COMPUTED_VALUE"""),"Обособленные обстоятельства")</f>
        <v>Обособленные обстоятельства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IFERROR(__xludf.DUMMYFUNCTION("""COMPUTED_VALUE"""),"Правописание частиц НЕ и НИ с существительными, прилагательными и наречиями на -о")</f>
        <v>Правописание частиц НЕ и НИ с существительными, прилагательными и наречиями на -о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IFERROR(__xludf.DUMMYFUNCTION("""COMPUTED_VALUE"""),"Обособленные определения")</f>
        <v>Обособленные определения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IFERROR(__xludf.DUMMYFUNCTION("""COMPUTED_VALUE"""),"Правописание частиц НЕ и НИ с причастиями")</f>
        <v>Правописание частиц НЕ и НИ с причастиями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IFERROR(__xludf.DUMMYFUNCTION("""COMPUTED_VALUE"""),"Обособленные приложения")</f>
        <v>Обособленные приложения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IFERROR(__xludf.DUMMYFUNCTION("""COMPUTED_VALUE"""),"Правописание частиц НЕ и НИ с наречиями")</f>
        <v>Правописание частиц НЕ и НИ с наречиями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IFERROR(__xludf.DUMMYFUNCTION("""COMPUTED_VALUE"""),"Вставные конструкции")</f>
        <v>Вставные конструкции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IFERROR(__xludf.DUMMYFUNCTION("""COMPUTED_VALUE"""),"Правописание частиц НЕ и НИ с краткими прилагательными, не имеющими полную форму")</f>
        <v>Правописание частиц НЕ и НИ с краткими прилагательными, не имеющими полную форму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IFERROR(__xludf.DUMMYFUNCTION("""COMPUTED_VALUE"""),"Обращение")</f>
        <v>Обращение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IFERROR(__xludf.DUMMYFUNCTION("""COMPUTED_VALUE"""),"Правописание частиц НЕ и НИ с местоимениями")</f>
        <v>Правописание частиц НЕ и НИ с местоимениями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IFERROR(__xludf.DUMMYFUNCTION("""COMPUTED_VALUE"""),"Предложения, противопоставленные по смыслу")</f>
        <v>Предложения, противопоставленные по смыслу</v>
      </c>
      <c r="F70" s="1">
        <f>IFERROR(__xludf.DUMMYFUNCTION("""COMPUTED_VALUE"""),270.0)</f>
        <v>270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IFERROR(__xludf.DUMMYFUNCTION("""COMPUTED_VALUE"""),"Правописание частиц НЕ и НИ с предлогами, числительными, союзами и частицами")</f>
        <v>Правописание частиц НЕ и НИ с предлогами, числительными, союзами и частицами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IFERROR(__xludf.DUMMYFUNCTION("""COMPUTED_VALUE"""),"Предложения, поясняющие, раскрывающие мысль")</f>
        <v>Предложения, поясняющие, раскрывающие мысль</v>
      </c>
      <c r="F71" s="1">
        <f>IFERROR(__xludf.DUMMYFUNCTION("""COMPUTED_VALUE"""),271.0)</f>
        <v>271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IFERROR(__xludf.DUMMYFUNCTION("""COMPUTED_VALUE"""),"Слитное и раздельное написание союзов")</f>
        <v>Слитное и раздельное написание союзов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IFERROR(__xludf.DUMMYFUNCTION("""COMPUTED_VALUE"""),"Предложения, указывающие на следствие")</f>
        <v>Предложения, указывающие на следствие</v>
      </c>
      <c r="F72" s="1">
        <f>IFERROR(__xludf.DUMMYFUNCTION("""COMPUTED_VALUE"""),272.0)</f>
        <v>272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IFERROR(__xludf.DUMMYFUNCTION("""COMPUTED_VALUE"""),"Слитное и раздельное написание предлогов")</f>
        <v>Слитное и раздельное написание предлогов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IFERROR(__xludf.DUMMYFUNCTION("""COMPUTED_VALUE"""),"Предложения, указывающие на причину")</f>
        <v>Предложения, указывающие на причину</v>
      </c>
      <c r="F73" s="1">
        <f>IFERROR(__xludf.DUMMYFUNCTION("""COMPUTED_VALUE"""),273.0)</f>
        <v>273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IFERROR(__xludf.DUMMYFUNCTION("""COMPUTED_VALUE"""),"Слитное и раздельное написание наречий")</f>
        <v>Слитное и раздельное написание наречий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IFERROR(__xludf.DUMMYFUNCTION("""COMPUTED_VALUE"""),"Предложения, содержащие ответ на вопрос")</f>
        <v>Предложения, содержащие ответ на вопрос</v>
      </c>
      <c r="F74" s="1">
        <f>IFERROR(__xludf.DUMMYFUNCTION("""COMPUTED_VALUE"""),274.0)</f>
        <v>274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IFERROR(__xludf.DUMMYFUNCTION("""COMPUTED_VALUE"""),"Слитное и раздельное написание частиц (в том числе ЖЕ, БЫ)")</f>
        <v>Слитное и раздельное написание частиц (в том числе ЖЕ, БЫ)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IFERROR(__xludf.DUMMYFUNCTION("""COMPUTED_VALUE"""),"Обособленные дополнения")</f>
        <v>Обособленные дополнения</v>
      </c>
      <c r="F75" s="1">
        <f>IFERROR(__xludf.DUMMYFUNCTION("""COMPUTED_VALUE"""),275.0)</f>
        <v>275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IFERROR(__xludf.DUMMYFUNCTION("""COMPUTED_VALUE"""),"Правописание слов с частью ПОЛ-")</f>
        <v>Правописание слов с частью ПОЛ-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IFERROR(__xludf.DUMMYFUNCTION("""COMPUTED_VALUE"""),"Прямая и косвенная речь")</f>
        <v>Прямая и косвенная речь</v>
      </c>
      <c r="F76" s="1">
        <f>IFERROR(__xludf.DUMMYFUNCTION("""COMPUTED_VALUE"""),276.0)</f>
        <v>276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IFERROR(__xludf.DUMMYFUNCTION("""COMPUTED_VALUE"""),"Правописание постфиксов -то, -либо, -нибудь и приставки кое-")</f>
        <v>Правописание постфиксов -то, -либо, -нибудь и приставки кое-</v>
      </c>
      <c r="B77" s="1">
        <f>IFERROR(__xludf.DUMMYFUNCTION("""COMPUTED_VALUE"""),76.0)</f>
        <v>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IFERROR(__xludf.DUMMYFUNCTION("""COMPUTED_VALUE"""),"Дефисное написание наречий")</f>
        <v>Дефисное написание наречий</v>
      </c>
      <c r="B78" s="1">
        <f>IFERROR(__xludf.DUMMYFUNCTION("""COMPUTED_VALUE"""),77.0)</f>
        <v>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IFERROR(__xludf.DUMMYFUNCTION("""COMPUTED_VALUE"""),"Правописание -Н- и -НН- в суффиксах прилагательных -ИН-/-АН-/-ЯН-")</f>
        <v>Правописание -Н- и -НН- в суффиксах прилагательных -ИН-/-АН-/-ЯН-</v>
      </c>
      <c r="B79" s="1">
        <f>IFERROR(__xludf.DUMMYFUNCTION("""COMPUTED_VALUE"""),78.0)</f>
        <v>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IFERROR(__xludf.DUMMYFUNCTION("""COMPUTED_VALUE"""),"Правописание -Н- и -НН- в суффиксах прилагательных -ЕНН-/-ОНН-")</f>
        <v>Правописание -Н- и -НН- в суффиксах прилагательных -ЕНН-/-ОНН-</v>
      </c>
      <c r="B80" s="1">
        <f>IFERROR(__xludf.DUMMYFUNCTION("""COMPUTED_VALUE"""),79.0)</f>
        <v>79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IFERROR(__xludf.DUMMYFUNCTION("""COMPUTED_VALUE"""),"Правописание -Н- и -НН- в суффиксах прилагательных на стыке морфем")</f>
        <v>Правописание -Н- и -НН- в суффиксах прилагательных на стыке морфем</v>
      </c>
      <c r="B81" s="1">
        <f>IFERROR(__xludf.DUMMYFUNCTION("""COMPUTED_VALUE"""),80.0)</f>
        <v>80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IFERROR(__xludf.DUMMYFUNCTION("""COMPUTED_VALUE"""),"Правописание -Н- и -НН- в суффиксах прилагательных, образованных от разносклоняемых существительных")</f>
        <v>Правописание -Н- и -НН- в суффиксах прилагательных, образованных от разносклоняемых существительных</v>
      </c>
      <c r="B82" s="1">
        <f>IFERROR(__xludf.DUMMYFUNCTION("""COMPUTED_VALUE"""),81.0)</f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IFERROR(__xludf.DUMMYFUNCTION("""COMPUTED_VALUE"""),"Правописание -Н- и -НН- в отглагольных прилагательных и причастиях")</f>
        <v>Правописание -Н- и -НН- в отглагольных прилагательных и причастиях</v>
      </c>
      <c r="B83" s="1">
        <f>IFERROR(__xludf.DUMMYFUNCTION("""COMPUTED_VALUE"""),82.0)</f>
        <v>82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IFERROR(__xludf.DUMMYFUNCTION("""COMPUTED_VALUE"""),"Правописание -Н- и -НН- в кратких прилагательных и наречиях")</f>
        <v>Правописание -Н- и -НН- в кратких прилагательных и наречиях</v>
      </c>
      <c r="B84" s="1">
        <f>IFERROR(__xludf.DUMMYFUNCTION("""COMPUTED_VALUE"""),83.0)</f>
        <v>83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IFERROR(__xludf.DUMMYFUNCTION("""COMPUTED_VALUE"""),"Правописание -Н- и -НН- в существительных")</f>
        <v>Правописание -Н- и -НН- в существительных</v>
      </c>
      <c r="B85" s="1">
        <f>IFERROR(__xludf.DUMMYFUNCTION("""COMPUTED_VALUE"""),84.0)</f>
        <v>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IFERROR(__xludf.DUMMYFUNCTION("""COMPUTED_VALUE"""),"Употребление гласных букв А/Я, У/Ю после шипящих и Ц")</f>
        <v>Употребление гласных букв А/Я, У/Ю после шипящих и Ц</v>
      </c>
      <c r="B86" s="1">
        <f>IFERROR(__xludf.DUMMYFUNCTION("""COMPUTED_VALUE"""),85.0)</f>
        <v>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IFERROR(__xludf.DUMMYFUNCTION("""COMPUTED_VALUE"""),"Употребление гласных букв И/Ы в корнях, суффиксах и окончаниях после Ц")</f>
        <v>Употребление гласных букв И/Ы в корнях, суффиксах и окончаниях после Ц</v>
      </c>
      <c r="B87" s="1">
        <f>IFERROR(__xludf.DUMMYFUNCTION("""COMPUTED_VALUE"""),86.0)</f>
        <v>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IFERROR(__xludf.DUMMYFUNCTION("""COMPUTED_VALUE"""),"Употребление гласных букв О/Е (Ё) после шипящих и Ц в корне")</f>
        <v>Употребление гласных букв О/Е (Ё) после шипящих и Ц в корне</v>
      </c>
      <c r="B88" s="1">
        <f>IFERROR(__xludf.DUMMYFUNCTION("""COMPUTED_VALUE"""),87.0)</f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IFERROR(__xludf.DUMMYFUNCTION("""COMPUTED_VALUE"""),"Употребление гласных букв О/Е (Ё) после шипящих и Ц в окончании")</f>
        <v>Употребление гласных букв О/Е (Ё) после шипящих и Ц в окончании</v>
      </c>
      <c r="B89" s="1">
        <f>IFERROR(__xludf.DUMMYFUNCTION("""COMPUTED_VALUE"""),88.0)</f>
        <v>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IFERROR(__xludf.DUMMYFUNCTION("""COMPUTED_VALUE"""),"Правописание окончаний существительных")</f>
        <v>Правописание окончаний существительных</v>
      </c>
      <c r="B90" s="1">
        <f>IFERROR(__xludf.DUMMYFUNCTION("""COMPUTED_VALUE"""),89.0)</f>
        <v>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IFERROR(__xludf.DUMMYFUNCTION("""COMPUTED_VALUE"""),"Ь на конце слов после шипящих")</f>
        <v>Ь на конце слов после шипящих</v>
      </c>
      <c r="B91" s="1">
        <f>IFERROR(__xludf.DUMMYFUNCTION("""COMPUTED_VALUE"""),90.0)</f>
        <v>90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IFERROR(__xludf.DUMMYFUNCTION("""COMPUTED_VALUE"""),"Правописание гласных после шипящих и Ц в корнях слов")</f>
        <v>Правописание гласных после шипящих и Ц в корнях слов</v>
      </c>
      <c r="B92" s="1">
        <f>IFERROR(__xludf.DUMMYFUNCTION("""COMPUTED_VALUE"""),91.0)</f>
        <v>91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IFERROR(__xludf.DUMMYFUNCTION("""COMPUTED_VALUE"""),"Правописание Ь для обозначения мягкости предшествующего согласного")</f>
        <v>Правописание Ь для обозначения мягкости предшествующего согласного</v>
      </c>
      <c r="B93" s="1">
        <f>IFERROR(__xludf.DUMMYFUNCTION("""COMPUTED_VALUE"""),92.0)</f>
        <v>92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IFERROR(__xludf.DUMMYFUNCTION("""COMPUTED_VALUE"""),"Ь в сочетаниях согласных")</f>
        <v>Ь в сочетаниях согласных</v>
      </c>
      <c r="B94" s="1">
        <f>IFERROR(__xludf.DUMMYFUNCTION("""COMPUTED_VALUE"""),93.0)</f>
        <v>93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IFERROR(__xludf.DUMMYFUNCTION("""COMPUTED_VALUE"""),"Ь в инфинитиве глагола")</f>
        <v>Ь в инфинитиве глагола</v>
      </c>
      <c r="B95" s="1">
        <f>IFERROR(__xludf.DUMMYFUNCTION("""COMPUTED_VALUE"""),94.0)</f>
        <v>94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IFERROR(__xludf.DUMMYFUNCTION("""COMPUTED_VALUE"""),"Правописание Ь в глаголах повелительного наклонения")</f>
        <v>Правописание Ь в глаголах повелительного наклонения</v>
      </c>
      <c r="B96" s="1">
        <f>IFERROR(__xludf.DUMMYFUNCTION("""COMPUTED_VALUE"""),95.0)</f>
        <v>95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IFERROR(__xludf.DUMMYFUNCTION("""COMPUTED_VALUE"""),"Правопсиание сложных существительных")</f>
        <v>Правопсиание сложных существительных</v>
      </c>
      <c r="B97" s="1">
        <f>IFERROR(__xludf.DUMMYFUNCTION("""COMPUTED_VALUE"""),96.0)</f>
        <v>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IFERROR(__xludf.DUMMYFUNCTION("""COMPUTED_VALUE"""),"Правописание сложных прилагательных")</f>
        <v>Правописание сложных прилагательных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IFERROR(__xludf.DUMMYFUNCTION("""COMPUTED_VALUE"""),"Правописание слов с соединительными гласными -О-/-Е-")</f>
        <v>Правописание слов с соединительными гласными -О-/-Е-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IFERROR(__xludf.DUMMYFUNCTION("""COMPUTED_VALUE"""),"Слитное и раздельное написание вводных слов, существительных, местоимений, прилагательных, числительных и омонимичных конструкций")</f>
        <v>Слитное и раздельное написание вводных слов, существительных, местоимений, прилагательных, числительных и омонимичных конструкций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